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drubal\Desktop\Trabajo Koios\Metrovans\Documentación\"/>
    </mc:Choice>
  </mc:AlternateContent>
  <bookViews>
    <workbookView xWindow="120" yWindow="150" windowWidth="20730" windowHeight="9525" activeTab="1"/>
  </bookViews>
  <sheets>
    <sheet name="EJECUTADO " sheetId="1" r:id="rId1"/>
    <sheet name="PRESUPUESTO" sheetId="2" r:id="rId2"/>
    <sheet name="GSA" sheetId="3" r:id="rId3"/>
    <sheet name="ESPANTAPAJAROS" sheetId="4" r:id="rId4"/>
    <sheet name="BUSETA" sheetId="5" r:id="rId5"/>
  </sheets>
  <definedNames>
    <definedName name="_xlnm._FilterDatabase" localSheetId="0" hidden="1">'EJECUTADO '!$A$1:$F$142</definedName>
    <definedName name="_xlnm._FilterDatabase" localSheetId="1" hidden="1">PRESUPUESTO!$A$1:$P$182</definedName>
  </definedNames>
  <calcPr calcId="152511"/>
</workbook>
</file>

<file path=xl/calcChain.xml><?xml version="1.0" encoding="utf-8"?>
<calcChain xmlns="http://schemas.openxmlformats.org/spreadsheetml/2006/main">
  <c r="O68" i="2" l="1"/>
  <c r="N68" i="2"/>
  <c r="M68" i="2"/>
  <c r="L68" i="2"/>
  <c r="K68" i="2"/>
  <c r="J68" i="2"/>
  <c r="I68" i="2"/>
  <c r="H68" i="2"/>
  <c r="G68" i="2"/>
  <c r="F68" i="2"/>
  <c r="E68" i="2"/>
  <c r="D68" i="2"/>
  <c r="E55" i="2"/>
  <c r="C10" i="5" l="1"/>
  <c r="D10" i="5"/>
  <c r="E10" i="5"/>
  <c r="F10" i="5"/>
  <c r="G10" i="5"/>
  <c r="H10" i="5"/>
  <c r="I10" i="5"/>
  <c r="J10" i="5"/>
  <c r="K10" i="5"/>
  <c r="L10" i="5"/>
  <c r="M10" i="5"/>
  <c r="N10" i="5"/>
  <c r="A6" i="5"/>
  <c r="J28" i="5"/>
  <c r="I28" i="5"/>
  <c r="J27" i="5"/>
  <c r="I27" i="5"/>
  <c r="J26" i="5"/>
  <c r="I26" i="5"/>
  <c r="N25" i="5"/>
  <c r="M25" i="5"/>
  <c r="L25" i="5"/>
  <c r="K25" i="5"/>
  <c r="J25" i="5"/>
  <c r="I25" i="5"/>
  <c r="H25" i="5"/>
  <c r="G25" i="5"/>
  <c r="F25" i="5"/>
  <c r="E25" i="5"/>
  <c r="D25" i="5"/>
  <c r="N24" i="5"/>
  <c r="M24" i="5"/>
  <c r="L24" i="5"/>
  <c r="K24" i="5"/>
  <c r="J24" i="5"/>
  <c r="I24" i="5"/>
  <c r="H24" i="5"/>
  <c r="G24" i="5"/>
  <c r="F24" i="5"/>
  <c r="E24" i="5"/>
  <c r="D24" i="5"/>
  <c r="J23" i="5"/>
  <c r="I23" i="5"/>
  <c r="J22" i="5"/>
  <c r="I22" i="5"/>
  <c r="J21" i="5"/>
  <c r="I21" i="5"/>
  <c r="J20" i="5"/>
  <c r="I20" i="5"/>
  <c r="N19" i="5"/>
  <c r="M19" i="5"/>
  <c r="L19" i="5"/>
  <c r="K19" i="5"/>
  <c r="J19" i="5"/>
  <c r="I19" i="5"/>
  <c r="H19" i="5"/>
  <c r="G19" i="5"/>
  <c r="F19" i="5"/>
  <c r="E19" i="5"/>
  <c r="D19" i="5"/>
  <c r="N18" i="5"/>
  <c r="M18" i="5"/>
  <c r="L18" i="5"/>
  <c r="K18" i="5"/>
  <c r="J18" i="5"/>
  <c r="I18" i="5"/>
  <c r="H18" i="5"/>
  <c r="G18" i="5"/>
  <c r="F18" i="5"/>
  <c r="E18" i="5"/>
  <c r="D18" i="5"/>
  <c r="N17" i="5"/>
  <c r="M17" i="5"/>
  <c r="L17" i="5"/>
  <c r="K17" i="5"/>
  <c r="J17" i="5"/>
  <c r="I17" i="5"/>
  <c r="H17" i="5"/>
  <c r="G17" i="5"/>
  <c r="F17" i="5"/>
  <c r="E17" i="5"/>
  <c r="D17" i="5"/>
  <c r="N16" i="5"/>
  <c r="M16" i="5"/>
  <c r="L16" i="5"/>
  <c r="K16" i="5"/>
  <c r="J16" i="5"/>
  <c r="I16" i="5"/>
  <c r="H16" i="5"/>
  <c r="G16" i="5"/>
  <c r="F16" i="5"/>
  <c r="E16" i="5"/>
  <c r="D16" i="5"/>
  <c r="N15" i="5"/>
  <c r="M15" i="5"/>
  <c r="L15" i="5"/>
  <c r="K15" i="5"/>
  <c r="J15" i="5"/>
  <c r="I15" i="5"/>
  <c r="H15" i="5"/>
  <c r="G15" i="5"/>
  <c r="F15" i="5"/>
  <c r="E15" i="5"/>
  <c r="D15" i="5"/>
  <c r="N14" i="5"/>
  <c r="M14" i="5"/>
  <c r="L14" i="5"/>
  <c r="K14" i="5"/>
  <c r="J14" i="5"/>
  <c r="I14" i="5"/>
  <c r="H14" i="5"/>
  <c r="G14" i="5"/>
  <c r="F14" i="5"/>
  <c r="E14" i="5"/>
  <c r="D14" i="5"/>
  <c r="N13" i="5"/>
  <c r="M13" i="5"/>
  <c r="L13" i="5"/>
  <c r="K13" i="5"/>
  <c r="J13" i="5"/>
  <c r="I13" i="5"/>
  <c r="H13" i="5"/>
  <c r="G13" i="5"/>
  <c r="F13" i="5"/>
  <c r="E13" i="5"/>
  <c r="D13" i="5"/>
  <c r="N12" i="5"/>
  <c r="M12" i="5"/>
  <c r="L12" i="5"/>
  <c r="K12" i="5"/>
  <c r="J12" i="5"/>
  <c r="I12" i="5"/>
  <c r="H12" i="5"/>
  <c r="G12" i="5"/>
  <c r="F12" i="5"/>
  <c r="E12" i="5"/>
  <c r="D12" i="5"/>
  <c r="N11" i="5"/>
  <c r="M11" i="5"/>
  <c r="L11" i="5"/>
  <c r="K11" i="5"/>
  <c r="J11" i="5"/>
  <c r="I11" i="5"/>
  <c r="H11" i="5"/>
  <c r="G11" i="5"/>
  <c r="F11" i="5"/>
  <c r="E11" i="5"/>
  <c r="D11" i="5"/>
  <c r="C25" i="5"/>
  <c r="C17" i="5"/>
  <c r="C16" i="5"/>
  <c r="C15" i="5"/>
  <c r="C14" i="5"/>
  <c r="C13" i="5"/>
  <c r="C12" i="5"/>
  <c r="C11" i="5"/>
  <c r="N6" i="5"/>
  <c r="M6" i="5"/>
  <c r="L6" i="5"/>
  <c r="K6" i="5"/>
  <c r="J6" i="5"/>
  <c r="I6" i="5"/>
  <c r="C6" i="5"/>
  <c r="C149" i="1"/>
  <c r="B149" i="1"/>
  <c r="C148" i="1"/>
  <c r="B148" i="1"/>
  <c r="C147" i="1"/>
  <c r="B147" i="1"/>
  <c r="A149" i="1"/>
  <c r="A148" i="1"/>
  <c r="A147" i="1"/>
  <c r="E122" i="1"/>
  <c r="E119" i="1"/>
  <c r="E118" i="1"/>
  <c r="D142" i="1"/>
  <c r="D112" i="1"/>
  <c r="O55" i="2"/>
  <c r="N55" i="2"/>
  <c r="M55" i="2"/>
  <c r="L55" i="2"/>
  <c r="K55" i="2"/>
  <c r="J55" i="2"/>
  <c r="I55" i="2"/>
  <c r="H55" i="2"/>
  <c r="G55" i="2"/>
  <c r="F55" i="2"/>
  <c r="D55" i="2"/>
  <c r="O103" i="2"/>
  <c r="N103" i="2"/>
  <c r="M103" i="2"/>
  <c r="L103" i="2"/>
  <c r="K103" i="2"/>
  <c r="J103" i="2"/>
  <c r="I103" i="2"/>
  <c r="H103" i="2"/>
  <c r="G103" i="2"/>
  <c r="F103" i="2"/>
  <c r="E103" i="2"/>
  <c r="O69" i="2"/>
  <c r="N69" i="2"/>
  <c r="M69" i="2"/>
  <c r="L69" i="2"/>
  <c r="K69" i="2"/>
  <c r="J69" i="2"/>
  <c r="I69" i="2"/>
  <c r="H69" i="2"/>
  <c r="G69" i="2"/>
  <c r="F69" i="2"/>
  <c r="E69" i="2"/>
  <c r="D69" i="2"/>
  <c r="D61" i="1"/>
  <c r="E61" i="1" s="1"/>
  <c r="D60" i="1"/>
  <c r="E60" i="1" s="1"/>
  <c r="D1" i="3"/>
  <c r="F1" i="3" s="1"/>
  <c r="K3" i="3"/>
  <c r="E3" i="3"/>
  <c r="F3" i="3" s="1"/>
  <c r="G3" i="3" s="1"/>
  <c r="H3" i="3" s="1"/>
  <c r="I3" i="3" s="1"/>
  <c r="J3" i="3" s="1"/>
  <c r="D3" i="3"/>
  <c r="O12" i="5" l="1"/>
  <c r="O16" i="5"/>
  <c r="O11" i="5"/>
  <c r="O15" i="5"/>
  <c r="O14" i="5"/>
  <c r="J8" i="5"/>
  <c r="O13" i="5"/>
  <c r="O17" i="5"/>
  <c r="O25" i="5"/>
  <c r="J7" i="5"/>
  <c r="O10" i="5"/>
  <c r="I7" i="5"/>
  <c r="I8" i="5" s="1"/>
  <c r="E126" i="1"/>
  <c r="D141" i="2"/>
  <c r="C24" i="5" s="1"/>
  <c r="O24" i="5" s="1"/>
  <c r="D136" i="2"/>
  <c r="C19" i="5" s="1"/>
  <c r="O19" i="5" s="1"/>
  <c r="D135" i="2"/>
  <c r="C18" i="5" s="1"/>
  <c r="B152" i="2"/>
  <c r="B151" i="2"/>
  <c r="B150" i="2"/>
  <c r="A152" i="2"/>
  <c r="A151" i="2"/>
  <c r="A150" i="2"/>
  <c r="K126" i="2"/>
  <c r="K121" i="2" s="1"/>
  <c r="K119" i="2" s="1"/>
  <c r="K152" i="2" s="1"/>
  <c r="J126" i="2"/>
  <c r="J121" i="2" s="1"/>
  <c r="J119" i="2" s="1"/>
  <c r="J152" i="2" s="1"/>
  <c r="O145" i="2"/>
  <c r="N28" i="5" s="1"/>
  <c r="N145" i="2"/>
  <c r="M28" i="5" s="1"/>
  <c r="M145" i="2"/>
  <c r="L28" i="5" s="1"/>
  <c r="L145" i="2"/>
  <c r="K28" i="5" s="1"/>
  <c r="I145" i="2"/>
  <c r="H28" i="5" s="1"/>
  <c r="H145" i="2"/>
  <c r="G28" i="5" s="1"/>
  <c r="G145" i="2"/>
  <c r="F28" i="5" s="1"/>
  <c r="F145" i="2"/>
  <c r="E28" i="5" s="1"/>
  <c r="E145" i="2"/>
  <c r="D28" i="5" s="1"/>
  <c r="O144" i="2"/>
  <c r="N27" i="5" s="1"/>
  <c r="N144" i="2"/>
  <c r="M27" i="5" s="1"/>
  <c r="M144" i="2"/>
  <c r="L27" i="5" s="1"/>
  <c r="L144" i="2"/>
  <c r="K27" i="5" s="1"/>
  <c r="I144" i="2"/>
  <c r="H27" i="5" s="1"/>
  <c r="H144" i="2"/>
  <c r="G27" i="5" s="1"/>
  <c r="G144" i="2"/>
  <c r="F27" i="5" s="1"/>
  <c r="F144" i="2"/>
  <c r="E27" i="5" s="1"/>
  <c r="E144" i="2"/>
  <c r="D27" i="5" s="1"/>
  <c r="O143" i="2"/>
  <c r="N26" i="5" s="1"/>
  <c r="N143" i="2"/>
  <c r="M26" i="5" s="1"/>
  <c r="M143" i="2"/>
  <c r="L26" i="5" s="1"/>
  <c r="L143" i="2"/>
  <c r="K26" i="5" s="1"/>
  <c r="I143" i="2"/>
  <c r="H26" i="5" s="1"/>
  <c r="H143" i="2"/>
  <c r="G26" i="5" s="1"/>
  <c r="G143" i="2"/>
  <c r="F26" i="5" s="1"/>
  <c r="F143" i="2"/>
  <c r="E26" i="5" s="1"/>
  <c r="E143" i="2"/>
  <c r="D26" i="5" s="1"/>
  <c r="O140" i="2"/>
  <c r="N23" i="5" s="1"/>
  <c r="N140" i="2"/>
  <c r="M23" i="5" s="1"/>
  <c r="M7" i="5" s="1"/>
  <c r="M8" i="5" s="1"/>
  <c r="M140" i="2"/>
  <c r="L23" i="5" s="1"/>
  <c r="L140" i="2"/>
  <c r="K23" i="5" s="1"/>
  <c r="I140" i="2"/>
  <c r="H23" i="5" s="1"/>
  <c r="H140" i="2"/>
  <c r="G23" i="5" s="1"/>
  <c r="G7" i="5" s="1"/>
  <c r="G140" i="2"/>
  <c r="F23" i="5" s="1"/>
  <c r="F140" i="2"/>
  <c r="E23" i="5" s="1"/>
  <c r="E140" i="2"/>
  <c r="D23" i="5" s="1"/>
  <c r="O139" i="2"/>
  <c r="N22" i="5" s="1"/>
  <c r="N7" i="5" s="1"/>
  <c r="N8" i="5" s="1"/>
  <c r="N139" i="2"/>
  <c r="M22" i="5" s="1"/>
  <c r="M139" i="2"/>
  <c r="L22" i="5" s="1"/>
  <c r="L139" i="2"/>
  <c r="K22" i="5" s="1"/>
  <c r="I139" i="2"/>
  <c r="H22" i="5" s="1"/>
  <c r="H7" i="5" s="1"/>
  <c r="H139" i="2"/>
  <c r="G22" i="5" s="1"/>
  <c r="G139" i="2"/>
  <c r="F22" i="5" s="1"/>
  <c r="F139" i="2"/>
  <c r="E22" i="5" s="1"/>
  <c r="E139" i="2"/>
  <c r="D22" i="5" s="1"/>
  <c r="O138" i="2"/>
  <c r="N21" i="5" s="1"/>
  <c r="N138" i="2"/>
  <c r="M21" i="5" s="1"/>
  <c r="M138" i="2"/>
  <c r="L21" i="5" s="1"/>
  <c r="L138" i="2"/>
  <c r="K21" i="5" s="1"/>
  <c r="I138" i="2"/>
  <c r="H21" i="5" s="1"/>
  <c r="H138" i="2"/>
  <c r="G21" i="5" s="1"/>
  <c r="G138" i="2"/>
  <c r="F21" i="5" s="1"/>
  <c r="F138" i="2"/>
  <c r="E21" i="5" s="1"/>
  <c r="E138" i="2"/>
  <c r="D21" i="5" s="1"/>
  <c r="O137" i="2"/>
  <c r="N20" i="5" s="1"/>
  <c r="N137" i="2"/>
  <c r="M20" i="5" s="1"/>
  <c r="M137" i="2"/>
  <c r="L20" i="5" s="1"/>
  <c r="L7" i="5" s="1"/>
  <c r="L8" i="5" s="1"/>
  <c r="L137" i="2"/>
  <c r="K20" i="5" s="1"/>
  <c r="K7" i="5" s="1"/>
  <c r="K8" i="5" s="1"/>
  <c r="I137" i="2"/>
  <c r="H20" i="5" s="1"/>
  <c r="H137" i="2"/>
  <c r="G20" i="5" s="1"/>
  <c r="G137" i="2"/>
  <c r="F20" i="5" s="1"/>
  <c r="F7" i="5" s="1"/>
  <c r="F137" i="2"/>
  <c r="E20" i="5" s="1"/>
  <c r="E7" i="5" s="1"/>
  <c r="E137" i="2"/>
  <c r="D20" i="5" s="1"/>
  <c r="D7" i="5" s="1"/>
  <c r="C142" i="2"/>
  <c r="D138" i="1" s="1"/>
  <c r="E138" i="1" s="1"/>
  <c r="C141" i="2"/>
  <c r="D137" i="1" s="1"/>
  <c r="F137" i="1" s="1"/>
  <c r="C134" i="2"/>
  <c r="D130" i="1" s="1"/>
  <c r="F130" i="1" s="1"/>
  <c r="C133" i="2"/>
  <c r="D129" i="1" s="1"/>
  <c r="F129" i="1" s="1"/>
  <c r="C131" i="2"/>
  <c r="D127" i="1" s="1"/>
  <c r="F127" i="1" s="1"/>
  <c r="C130" i="2"/>
  <c r="D126" i="1" s="1"/>
  <c r="F126" i="1" s="1"/>
  <c r="C129" i="2"/>
  <c r="D125" i="1" s="1"/>
  <c r="E125" i="1" s="1"/>
  <c r="C128" i="2"/>
  <c r="D124" i="1" s="1"/>
  <c r="E124" i="1" s="1"/>
  <c r="C127" i="2"/>
  <c r="D123" i="1" s="1"/>
  <c r="F123" i="1" s="1"/>
  <c r="D143" i="2"/>
  <c r="C26" i="5" s="1"/>
  <c r="O26" i="5" s="1"/>
  <c r="D137" i="2"/>
  <c r="C20" i="5" s="1"/>
  <c r="O20" i="5" s="1"/>
  <c r="B17" i="3"/>
  <c r="B18" i="3" s="1"/>
  <c r="C57" i="2"/>
  <c r="O109" i="2"/>
  <c r="N109" i="2"/>
  <c r="M109" i="2"/>
  <c r="L109" i="2"/>
  <c r="K109" i="2"/>
  <c r="J109" i="2"/>
  <c r="I109" i="2"/>
  <c r="H109" i="2"/>
  <c r="G109" i="2"/>
  <c r="F109" i="2"/>
  <c r="E109" i="2"/>
  <c r="D109" i="2"/>
  <c r="C110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C107" i="2"/>
  <c r="O101" i="2"/>
  <c r="N101" i="2"/>
  <c r="K101" i="2"/>
  <c r="J101" i="2"/>
  <c r="G101" i="2"/>
  <c r="F101" i="2"/>
  <c r="C104" i="2"/>
  <c r="D101" i="1" s="1"/>
  <c r="E101" i="1" s="1"/>
  <c r="C102" i="2"/>
  <c r="M101" i="2"/>
  <c r="L101" i="2"/>
  <c r="I101" i="2"/>
  <c r="H101" i="2"/>
  <c r="E101" i="2"/>
  <c r="D101" i="2"/>
  <c r="O62" i="2"/>
  <c r="N62" i="2"/>
  <c r="M62" i="2"/>
  <c r="L62" i="2"/>
  <c r="K62" i="2"/>
  <c r="J62" i="2"/>
  <c r="I62" i="2"/>
  <c r="H62" i="2"/>
  <c r="G62" i="2"/>
  <c r="F62" i="2"/>
  <c r="E62" i="2"/>
  <c r="D62" i="2"/>
  <c r="C8" i="2"/>
  <c r="O11" i="2"/>
  <c r="N11" i="2"/>
  <c r="M11" i="2"/>
  <c r="L11" i="2"/>
  <c r="K11" i="2"/>
  <c r="J11" i="2"/>
  <c r="I11" i="2"/>
  <c r="H11" i="2"/>
  <c r="G11" i="2"/>
  <c r="F11" i="2"/>
  <c r="E11" i="2"/>
  <c r="D11" i="2"/>
  <c r="C12" i="2"/>
  <c r="C97" i="2"/>
  <c r="C96" i="2"/>
  <c r="C95" i="2"/>
  <c r="C94" i="2"/>
  <c r="C93" i="2"/>
  <c r="C92" i="2"/>
  <c r="O91" i="2"/>
  <c r="N91" i="2"/>
  <c r="M91" i="2"/>
  <c r="L91" i="2"/>
  <c r="K91" i="2"/>
  <c r="J91" i="2"/>
  <c r="I91" i="2"/>
  <c r="H91" i="2"/>
  <c r="G91" i="2"/>
  <c r="F91" i="2"/>
  <c r="E91" i="2"/>
  <c r="D91" i="2"/>
  <c r="C89" i="2"/>
  <c r="C88" i="2"/>
  <c r="C87" i="2"/>
  <c r="C86" i="2"/>
  <c r="O85" i="2"/>
  <c r="N85" i="2"/>
  <c r="M85" i="2"/>
  <c r="L85" i="2"/>
  <c r="K85" i="2"/>
  <c r="J85" i="2"/>
  <c r="I85" i="2"/>
  <c r="H85" i="2"/>
  <c r="G85" i="2"/>
  <c r="F85" i="2"/>
  <c r="E85" i="2"/>
  <c r="D85" i="2"/>
  <c r="C83" i="2"/>
  <c r="D80" i="1" s="1"/>
  <c r="F80" i="1" s="1"/>
  <c r="C82" i="2"/>
  <c r="C81" i="2"/>
  <c r="O80" i="2"/>
  <c r="N80" i="2"/>
  <c r="M80" i="2"/>
  <c r="L80" i="2"/>
  <c r="K80" i="2"/>
  <c r="J80" i="2"/>
  <c r="I80" i="2"/>
  <c r="H80" i="2"/>
  <c r="G80" i="2"/>
  <c r="F80" i="2"/>
  <c r="E80" i="2"/>
  <c r="D80" i="2"/>
  <c r="C78" i="2"/>
  <c r="C77" i="2"/>
  <c r="C76" i="2"/>
  <c r="O75" i="2"/>
  <c r="N75" i="2"/>
  <c r="M75" i="2"/>
  <c r="L75" i="2"/>
  <c r="K75" i="2"/>
  <c r="J75" i="2"/>
  <c r="I75" i="2"/>
  <c r="H75" i="2"/>
  <c r="G75" i="2"/>
  <c r="F75" i="2"/>
  <c r="E75" i="2"/>
  <c r="D75" i="2"/>
  <c r="E59" i="2"/>
  <c r="D59" i="2"/>
  <c r="C63" i="2"/>
  <c r="C54" i="2"/>
  <c r="C50" i="2"/>
  <c r="C49" i="2"/>
  <c r="C44" i="2"/>
  <c r="C42" i="2"/>
  <c r="C41" i="2"/>
  <c r="C40" i="2"/>
  <c r="C35" i="2"/>
  <c r="C34" i="2"/>
  <c r="C33" i="2"/>
  <c r="G73" i="2"/>
  <c r="C73" i="2" s="1"/>
  <c r="D70" i="1" s="1"/>
  <c r="E70" i="1" s="1"/>
  <c r="C72" i="2"/>
  <c r="C71" i="2"/>
  <c r="C70" i="2"/>
  <c r="P34" i="2" l="1"/>
  <c r="D29" i="1"/>
  <c r="E29" i="1" s="1"/>
  <c r="P54" i="2"/>
  <c r="D49" i="1"/>
  <c r="E49" i="1" s="1"/>
  <c r="P76" i="2"/>
  <c r="D73" i="1"/>
  <c r="P88" i="2"/>
  <c r="D85" i="1"/>
  <c r="C11" i="2"/>
  <c r="D10" i="1" s="1"/>
  <c r="D11" i="1"/>
  <c r="F124" i="1"/>
  <c r="P72" i="2"/>
  <c r="D69" i="1"/>
  <c r="E69" i="1" s="1"/>
  <c r="P44" i="2"/>
  <c r="D39" i="1"/>
  <c r="E39" i="1" s="1"/>
  <c r="P77" i="2"/>
  <c r="D74" i="1"/>
  <c r="E74" i="1" s="1"/>
  <c r="P89" i="2"/>
  <c r="D86" i="1"/>
  <c r="P95" i="2"/>
  <c r="D92" i="1"/>
  <c r="C109" i="2"/>
  <c r="D106" i="1" s="1"/>
  <c r="E106" i="1" s="1"/>
  <c r="D107" i="1"/>
  <c r="E107" i="1" s="1"/>
  <c r="D138" i="2"/>
  <c r="C21" i="5" s="1"/>
  <c r="O21" i="5" s="1"/>
  <c r="D144" i="2"/>
  <c r="C27" i="5" s="1"/>
  <c r="O27" i="5" s="1"/>
  <c r="E80" i="1"/>
  <c r="O18" i="5"/>
  <c r="P40" i="2"/>
  <c r="D35" i="1"/>
  <c r="P86" i="2"/>
  <c r="D83" i="1"/>
  <c r="E83" i="1" s="1"/>
  <c r="P92" i="2"/>
  <c r="D89" i="1"/>
  <c r="P96" i="2"/>
  <c r="D93" i="1"/>
  <c r="P57" i="2"/>
  <c r="D52" i="1"/>
  <c r="E52" i="1" s="1"/>
  <c r="D139" i="2"/>
  <c r="C22" i="5" s="1"/>
  <c r="O22" i="5" s="1"/>
  <c r="D145" i="2"/>
  <c r="C28" i="5" s="1"/>
  <c r="O28" i="5" s="1"/>
  <c r="C135" i="2"/>
  <c r="D131" i="1" s="1"/>
  <c r="E130" i="1"/>
  <c r="F70" i="1"/>
  <c r="P71" i="2"/>
  <c r="D68" i="1"/>
  <c r="P42" i="2"/>
  <c r="D37" i="1"/>
  <c r="E37" i="1" s="1"/>
  <c r="P82" i="2"/>
  <c r="D79" i="1"/>
  <c r="E79" i="1" s="1"/>
  <c r="P94" i="2"/>
  <c r="D91" i="1"/>
  <c r="P102" i="2"/>
  <c r="D99" i="1"/>
  <c r="C106" i="2"/>
  <c r="D103" i="1" s="1"/>
  <c r="E103" i="1" s="1"/>
  <c r="D104" i="1"/>
  <c r="E104" i="1" s="1"/>
  <c r="E129" i="1"/>
  <c r="P35" i="2"/>
  <c r="D30" i="1"/>
  <c r="C62" i="2"/>
  <c r="D57" i="1" s="1"/>
  <c r="D58" i="1"/>
  <c r="P8" i="2"/>
  <c r="D8" i="1"/>
  <c r="P70" i="2"/>
  <c r="D67" i="1"/>
  <c r="P33" i="2"/>
  <c r="D28" i="1"/>
  <c r="P41" i="2"/>
  <c r="D36" i="1"/>
  <c r="P81" i="2"/>
  <c r="D78" i="1"/>
  <c r="P87" i="2"/>
  <c r="D84" i="1"/>
  <c r="P93" i="2"/>
  <c r="D90" i="1"/>
  <c r="P97" i="2"/>
  <c r="D94" i="1"/>
  <c r="E94" i="1" s="1"/>
  <c r="D140" i="2"/>
  <c r="C23" i="5" s="1"/>
  <c r="O23" i="5" s="1"/>
  <c r="C136" i="2"/>
  <c r="D132" i="1" s="1"/>
  <c r="E127" i="1"/>
  <c r="E137" i="1"/>
  <c r="E123" i="1"/>
  <c r="P50" i="2"/>
  <c r="D45" i="1"/>
  <c r="P49" i="2"/>
  <c r="D44" i="1"/>
  <c r="P78" i="2"/>
  <c r="D75" i="1"/>
  <c r="L3" i="3"/>
  <c r="C68" i="2"/>
  <c r="D65" i="1" s="1"/>
  <c r="E126" i="2"/>
  <c r="E121" i="2" s="1"/>
  <c r="E119" i="2" s="1"/>
  <c r="E152" i="2" s="1"/>
  <c r="I126" i="2"/>
  <c r="I121" i="2" s="1"/>
  <c r="I119" i="2" s="1"/>
  <c r="I152" i="2" s="1"/>
  <c r="O126" i="2"/>
  <c r="O121" i="2" s="1"/>
  <c r="O119" i="2" s="1"/>
  <c r="O152" i="2" s="1"/>
  <c r="M99" i="2"/>
  <c r="C143" i="2"/>
  <c r="D139" i="1" s="1"/>
  <c r="G126" i="2"/>
  <c r="G121" i="2" s="1"/>
  <c r="G119" i="2" s="1"/>
  <c r="G152" i="2" s="1"/>
  <c r="M126" i="2"/>
  <c r="M121" i="2" s="1"/>
  <c r="M119" i="2" s="1"/>
  <c r="M152" i="2" s="1"/>
  <c r="H126" i="2"/>
  <c r="H121" i="2" s="1"/>
  <c r="H119" i="2" s="1"/>
  <c r="H152" i="2" s="1"/>
  <c r="N126" i="2"/>
  <c r="N121" i="2" s="1"/>
  <c r="N119" i="2" s="1"/>
  <c r="N152" i="2" s="1"/>
  <c r="C75" i="2"/>
  <c r="L126" i="2"/>
  <c r="L121" i="2" s="1"/>
  <c r="L119" i="2" s="1"/>
  <c r="L152" i="2" s="1"/>
  <c r="I99" i="2"/>
  <c r="G99" i="2"/>
  <c r="K99" i="2"/>
  <c r="O99" i="2"/>
  <c r="C137" i="2"/>
  <c r="D133" i="1" s="1"/>
  <c r="C138" i="2"/>
  <c r="D134" i="1" s="1"/>
  <c r="F126" i="2"/>
  <c r="F121" i="2" s="1"/>
  <c r="F119" i="2" s="1"/>
  <c r="F152" i="2" s="1"/>
  <c r="E99" i="2"/>
  <c r="C140" i="2"/>
  <c r="D136" i="1" s="1"/>
  <c r="C144" i="2"/>
  <c r="D140" i="1" s="1"/>
  <c r="F99" i="2"/>
  <c r="J99" i="2"/>
  <c r="N99" i="2"/>
  <c r="C69" i="2"/>
  <c r="C80" i="2"/>
  <c r="C85" i="2"/>
  <c r="P85" i="2" s="1"/>
  <c r="P63" i="2"/>
  <c r="P73" i="2"/>
  <c r="P83" i="2"/>
  <c r="C103" i="2"/>
  <c r="D99" i="2"/>
  <c r="H99" i="2"/>
  <c r="L99" i="2"/>
  <c r="P11" i="2"/>
  <c r="C48" i="2"/>
  <c r="D43" i="1" s="1"/>
  <c r="P12" i="2"/>
  <c r="C91" i="2"/>
  <c r="O67" i="2"/>
  <c r="O66" i="2" s="1"/>
  <c r="N67" i="2"/>
  <c r="N66" i="2" s="1"/>
  <c r="M67" i="2"/>
  <c r="M66" i="2" s="1"/>
  <c r="L67" i="2"/>
  <c r="L66" i="2" s="1"/>
  <c r="K67" i="2"/>
  <c r="K66" i="2" s="1"/>
  <c r="J67" i="2"/>
  <c r="J66" i="2" s="1"/>
  <c r="I67" i="2"/>
  <c r="I66" i="2" s="1"/>
  <c r="H67" i="2"/>
  <c r="H66" i="2" s="1"/>
  <c r="G67" i="2"/>
  <c r="G66" i="2" s="1"/>
  <c r="F67" i="2"/>
  <c r="F66" i="2" s="1"/>
  <c r="E67" i="2"/>
  <c r="E66" i="2" s="1"/>
  <c r="D67" i="2"/>
  <c r="O59" i="2"/>
  <c r="N59" i="2"/>
  <c r="M59" i="2"/>
  <c r="L59" i="2"/>
  <c r="K59" i="2"/>
  <c r="J59" i="2"/>
  <c r="I59" i="2"/>
  <c r="H59" i="2"/>
  <c r="G59" i="2"/>
  <c r="C25" i="2"/>
  <c r="C23" i="2"/>
  <c r="P23" i="2" s="1"/>
  <c r="C22" i="2"/>
  <c r="C20" i="2"/>
  <c r="P20" i="2" s="1"/>
  <c r="C18" i="2"/>
  <c r="O48" i="2"/>
  <c r="N48" i="2"/>
  <c r="M48" i="2"/>
  <c r="L48" i="2"/>
  <c r="K48" i="2"/>
  <c r="J48" i="2"/>
  <c r="I48" i="2"/>
  <c r="H48" i="2"/>
  <c r="G48" i="2"/>
  <c r="F48" i="2"/>
  <c r="E48" i="2"/>
  <c r="D48" i="2"/>
  <c r="O46" i="2"/>
  <c r="N46" i="2"/>
  <c r="M46" i="2"/>
  <c r="L46" i="2"/>
  <c r="K46" i="2"/>
  <c r="J46" i="2"/>
  <c r="I46" i="2"/>
  <c r="H46" i="2"/>
  <c r="G46" i="2"/>
  <c r="F46" i="2"/>
  <c r="E46" i="2"/>
  <c r="O45" i="2"/>
  <c r="N45" i="2"/>
  <c r="M45" i="2"/>
  <c r="L45" i="2"/>
  <c r="K45" i="2"/>
  <c r="J45" i="2"/>
  <c r="I45" i="2"/>
  <c r="H45" i="2"/>
  <c r="G45" i="2"/>
  <c r="F45" i="2"/>
  <c r="E45" i="2"/>
  <c r="O43" i="2"/>
  <c r="N43" i="2"/>
  <c r="M43" i="2"/>
  <c r="L43" i="2"/>
  <c r="K43" i="2"/>
  <c r="J43" i="2"/>
  <c r="I43" i="2"/>
  <c r="H43" i="2"/>
  <c r="G43" i="2"/>
  <c r="F43" i="2"/>
  <c r="E43" i="2"/>
  <c r="O39" i="2"/>
  <c r="N39" i="2"/>
  <c r="M39" i="2"/>
  <c r="L39" i="2"/>
  <c r="K39" i="2"/>
  <c r="J39" i="2"/>
  <c r="I39" i="2"/>
  <c r="H39" i="2"/>
  <c r="G39" i="2"/>
  <c r="F39" i="2"/>
  <c r="E39" i="2"/>
  <c r="O38" i="2"/>
  <c r="N38" i="2"/>
  <c r="M38" i="2"/>
  <c r="L38" i="2"/>
  <c r="K38" i="2"/>
  <c r="J38" i="2"/>
  <c r="I38" i="2"/>
  <c r="H38" i="2"/>
  <c r="G38" i="2"/>
  <c r="F38" i="2"/>
  <c r="E38" i="2"/>
  <c r="O37" i="2"/>
  <c r="N37" i="2"/>
  <c r="M37" i="2"/>
  <c r="L37" i="2"/>
  <c r="K37" i="2"/>
  <c r="J37" i="2"/>
  <c r="I37" i="2"/>
  <c r="H37" i="2"/>
  <c r="G37" i="2"/>
  <c r="F37" i="2"/>
  <c r="E37" i="2"/>
  <c r="O36" i="2"/>
  <c r="N36" i="2"/>
  <c r="M36" i="2"/>
  <c r="L36" i="2"/>
  <c r="K36" i="2"/>
  <c r="J36" i="2"/>
  <c r="I36" i="2"/>
  <c r="H36" i="2"/>
  <c r="G36" i="2"/>
  <c r="F36" i="2"/>
  <c r="E36" i="2"/>
  <c r="O24" i="2"/>
  <c r="N24" i="2"/>
  <c r="M24" i="2"/>
  <c r="L24" i="2"/>
  <c r="K24" i="2"/>
  <c r="J24" i="2"/>
  <c r="I24" i="2"/>
  <c r="H24" i="2"/>
  <c r="G24" i="2"/>
  <c r="F24" i="2"/>
  <c r="O21" i="2"/>
  <c r="N21" i="2"/>
  <c r="M21" i="2"/>
  <c r="L21" i="2"/>
  <c r="K21" i="2"/>
  <c r="J21" i="2"/>
  <c r="I21" i="2"/>
  <c r="H21" i="2"/>
  <c r="G21" i="2"/>
  <c r="F21" i="2"/>
  <c r="D24" i="2"/>
  <c r="D21" i="2"/>
  <c r="D19" i="2"/>
  <c r="O19" i="2"/>
  <c r="N19" i="2"/>
  <c r="M19" i="2"/>
  <c r="L19" i="2"/>
  <c r="K19" i="2"/>
  <c r="J19" i="2"/>
  <c r="I19" i="2"/>
  <c r="H19" i="2"/>
  <c r="G19" i="2"/>
  <c r="F19" i="2"/>
  <c r="E19" i="2"/>
  <c r="G3" i="4"/>
  <c r="M2" i="4"/>
  <c r="L2" i="4"/>
  <c r="K2" i="4"/>
  <c r="J2" i="4"/>
  <c r="M11" i="4"/>
  <c r="M12" i="4" s="1"/>
  <c r="L11" i="4"/>
  <c r="K11" i="4"/>
  <c r="J11" i="4"/>
  <c r="H11" i="4"/>
  <c r="F11" i="4"/>
  <c r="E11" i="4"/>
  <c r="D11" i="4"/>
  <c r="C11" i="4"/>
  <c r="B11" i="4"/>
  <c r="D6" i="2" s="1"/>
  <c r="D5" i="2" s="1"/>
  <c r="N7" i="4"/>
  <c r="N5" i="4"/>
  <c r="N4" i="4"/>
  <c r="I6" i="4"/>
  <c r="I5" i="4"/>
  <c r="I4" i="4"/>
  <c r="I2" i="4"/>
  <c r="G6" i="4"/>
  <c r="N6" i="4" s="1"/>
  <c r="G5" i="4"/>
  <c r="G4" i="4"/>
  <c r="G2" i="4"/>
  <c r="B12" i="4"/>
  <c r="D9" i="4"/>
  <c r="E9" i="4" s="1"/>
  <c r="F9" i="4" s="1"/>
  <c r="G9" i="4" s="1"/>
  <c r="H9" i="4" s="1"/>
  <c r="I9" i="4" s="1"/>
  <c r="J9" i="4" s="1"/>
  <c r="K9" i="4" s="1"/>
  <c r="L9" i="4" s="1"/>
  <c r="D10" i="3"/>
  <c r="E10" i="3" s="1"/>
  <c r="D9" i="3"/>
  <c r="E9" i="3" s="1"/>
  <c r="F9" i="3" s="1"/>
  <c r="G9" i="3" s="1"/>
  <c r="H9" i="3" s="1"/>
  <c r="I9" i="3" s="1"/>
  <c r="J9" i="3" s="1"/>
  <c r="K9" i="3" s="1"/>
  <c r="C16" i="3"/>
  <c r="D16" i="3" s="1"/>
  <c r="E16" i="3" s="1"/>
  <c r="F16" i="3" s="1"/>
  <c r="G16" i="3" s="1"/>
  <c r="H16" i="3" s="1"/>
  <c r="I16" i="3" s="1"/>
  <c r="J16" i="3" s="1"/>
  <c r="K16" i="3" s="1"/>
  <c r="C15" i="3"/>
  <c r="D15" i="3" s="1"/>
  <c r="E15" i="3" s="1"/>
  <c r="F15" i="3" s="1"/>
  <c r="G15" i="3" s="1"/>
  <c r="H15" i="3" s="1"/>
  <c r="I15" i="3" s="1"/>
  <c r="J15" i="3" s="1"/>
  <c r="K15" i="3" s="1"/>
  <c r="C14" i="3"/>
  <c r="D14" i="3" s="1"/>
  <c r="C13" i="3"/>
  <c r="C12" i="3"/>
  <c r="D12" i="3" s="1"/>
  <c r="E12" i="3" s="1"/>
  <c r="F12" i="3" s="1"/>
  <c r="G12" i="3" s="1"/>
  <c r="H12" i="3" s="1"/>
  <c r="I12" i="3" s="1"/>
  <c r="J12" i="3" s="1"/>
  <c r="K12" i="3" s="1"/>
  <c r="C11" i="3"/>
  <c r="D11" i="3" s="1"/>
  <c r="C10" i="3"/>
  <c r="C9" i="3"/>
  <c r="C8" i="3"/>
  <c r="D8" i="3" s="1"/>
  <c r="E8" i="3" s="1"/>
  <c r="F8" i="3" s="1"/>
  <c r="G8" i="3" s="1"/>
  <c r="H8" i="3" s="1"/>
  <c r="I8" i="3" s="1"/>
  <c r="J8" i="3" s="1"/>
  <c r="K8" i="3" s="1"/>
  <c r="C7" i="3"/>
  <c r="D7" i="3" s="1"/>
  <c r="C6" i="3"/>
  <c r="D6" i="3" s="1"/>
  <c r="C5" i="3"/>
  <c r="C4" i="3"/>
  <c r="B19" i="3"/>
  <c r="B20" i="3" s="1"/>
  <c r="B21" i="3" s="1"/>
  <c r="D46" i="2"/>
  <c r="D45" i="2"/>
  <c r="D43" i="2"/>
  <c r="D36" i="2"/>
  <c r="D37" i="2"/>
  <c r="D39" i="2"/>
  <c r="D38" i="2"/>
  <c r="C19" i="3" l="1"/>
  <c r="O6" i="2"/>
  <c r="P18" i="2"/>
  <c r="D16" i="1"/>
  <c r="E16" i="1" s="1"/>
  <c r="P25" i="2"/>
  <c r="D22" i="1"/>
  <c r="E22" i="1" s="1"/>
  <c r="F140" i="1"/>
  <c r="E140" i="1"/>
  <c r="E67" i="1"/>
  <c r="F67" i="1"/>
  <c r="F58" i="1"/>
  <c r="E58" i="1"/>
  <c r="F93" i="1"/>
  <c r="E93" i="1"/>
  <c r="E86" i="1"/>
  <c r="F86" i="1"/>
  <c r="C17" i="3"/>
  <c r="C18" i="3" s="1"/>
  <c r="N2" i="4"/>
  <c r="N11" i="4" s="1"/>
  <c r="N3" i="4"/>
  <c r="F136" i="1"/>
  <c r="E136" i="1"/>
  <c r="F134" i="1"/>
  <c r="E134" i="1"/>
  <c r="F132" i="1"/>
  <c r="E132" i="1"/>
  <c r="F90" i="1"/>
  <c r="E90" i="1"/>
  <c r="F78" i="1"/>
  <c r="E78" i="1"/>
  <c r="E57" i="1"/>
  <c r="F57" i="1"/>
  <c r="F91" i="1"/>
  <c r="E91" i="1"/>
  <c r="F11" i="1"/>
  <c r="E11" i="1"/>
  <c r="E73" i="1"/>
  <c r="F73" i="1"/>
  <c r="C7" i="5"/>
  <c r="D4" i="3"/>
  <c r="I3" i="4"/>
  <c r="I11" i="4" s="1"/>
  <c r="P22" i="2"/>
  <c r="D20" i="1"/>
  <c r="E20" i="1" s="1"/>
  <c r="P91" i="2"/>
  <c r="D82" i="1"/>
  <c r="D88" i="1"/>
  <c r="P80" i="2"/>
  <c r="D77" i="1"/>
  <c r="E133" i="1"/>
  <c r="F133" i="1"/>
  <c r="E139" i="1"/>
  <c r="F139" i="1"/>
  <c r="F28" i="1"/>
  <c r="E28" i="1"/>
  <c r="F8" i="1"/>
  <c r="E8" i="1"/>
  <c r="E30" i="1"/>
  <c r="F30" i="1"/>
  <c r="F89" i="1"/>
  <c r="E89" i="1"/>
  <c r="F35" i="1"/>
  <c r="E35" i="1"/>
  <c r="F92" i="1"/>
  <c r="E92" i="1"/>
  <c r="F10" i="1"/>
  <c r="E10" i="1"/>
  <c r="P69" i="2"/>
  <c r="D66" i="1"/>
  <c r="P62" i="2"/>
  <c r="C145" i="2"/>
  <c r="D141" i="1" s="1"/>
  <c r="D126" i="2"/>
  <c r="D121" i="2" s="1"/>
  <c r="D119" i="2" s="1"/>
  <c r="D152" i="2" s="1"/>
  <c r="C139" i="2"/>
  <c r="D135" i="1" s="1"/>
  <c r="F84" i="1"/>
  <c r="E84" i="1"/>
  <c r="E36" i="1"/>
  <c r="F36" i="1"/>
  <c r="F99" i="1"/>
  <c r="E99" i="1"/>
  <c r="F68" i="1"/>
  <c r="E68" i="1"/>
  <c r="F131" i="1"/>
  <c r="E131" i="1"/>
  <c r="F85" i="1"/>
  <c r="E85" i="1"/>
  <c r="P68" i="2"/>
  <c r="E65" i="1"/>
  <c r="F65" i="1"/>
  <c r="F45" i="1"/>
  <c r="E45" i="1"/>
  <c r="F44" i="1"/>
  <c r="E44" i="1"/>
  <c r="E43" i="1"/>
  <c r="F43" i="1"/>
  <c r="F75" i="1"/>
  <c r="E75" i="1"/>
  <c r="C101" i="2"/>
  <c r="D98" i="1" s="1"/>
  <c r="D100" i="1"/>
  <c r="P75" i="2"/>
  <c r="D72" i="1"/>
  <c r="N3" i="3"/>
  <c r="M12" i="3"/>
  <c r="O5" i="2"/>
  <c r="O3" i="2" s="1"/>
  <c r="P48" i="2"/>
  <c r="C99" i="2"/>
  <c r="D96" i="1" s="1"/>
  <c r="E96" i="1" s="1"/>
  <c r="E32" i="2"/>
  <c r="I32" i="2"/>
  <c r="G32" i="2"/>
  <c r="C43" i="2"/>
  <c r="K32" i="2"/>
  <c r="O32" i="2"/>
  <c r="H32" i="2"/>
  <c r="C37" i="2"/>
  <c r="C46" i="2"/>
  <c r="C67" i="2"/>
  <c r="D66" i="2"/>
  <c r="M32" i="2"/>
  <c r="F32" i="2"/>
  <c r="J32" i="2"/>
  <c r="E6" i="2"/>
  <c r="F10" i="3"/>
  <c r="G10" i="3" s="1"/>
  <c r="H10" i="3" s="1"/>
  <c r="I10" i="3" s="1"/>
  <c r="J10" i="3" s="1"/>
  <c r="K10" i="3" s="1"/>
  <c r="L10" i="3"/>
  <c r="E14" i="3"/>
  <c r="F14" i="3" s="1"/>
  <c r="G14" i="3" s="1"/>
  <c r="H14" i="3" s="1"/>
  <c r="I14" i="3" s="1"/>
  <c r="J14" i="3" s="1"/>
  <c r="K14" i="3" s="1"/>
  <c r="L9" i="3"/>
  <c r="N9" i="3" s="1"/>
  <c r="E7" i="3"/>
  <c r="F7" i="3" s="1"/>
  <c r="G7" i="3" s="1"/>
  <c r="H7" i="3" s="1"/>
  <c r="I7" i="3" s="1"/>
  <c r="J7" i="3" s="1"/>
  <c r="K7" i="3" s="1"/>
  <c r="L7" i="3" s="1"/>
  <c r="N7" i="3" s="1"/>
  <c r="E11" i="3"/>
  <c r="F11" i="3" s="1"/>
  <c r="G11" i="3" s="1"/>
  <c r="H11" i="3" s="1"/>
  <c r="I11" i="3" s="1"/>
  <c r="J11" i="3" s="1"/>
  <c r="K11" i="3" s="1"/>
  <c r="L11" i="3"/>
  <c r="N11" i="3" s="1"/>
  <c r="E6" i="3"/>
  <c r="C20" i="3"/>
  <c r="D19" i="3"/>
  <c r="L8" i="3"/>
  <c r="N8" i="3" s="1"/>
  <c r="L12" i="3"/>
  <c r="N12" i="3" s="1"/>
  <c r="L16" i="3"/>
  <c r="N16" i="3" s="1"/>
  <c r="D13" i="3"/>
  <c r="E13" i="3" s="1"/>
  <c r="F13" i="3" s="1"/>
  <c r="G13" i="3" s="1"/>
  <c r="H13" i="3" s="1"/>
  <c r="I13" i="3" s="1"/>
  <c r="J13" i="3" s="1"/>
  <c r="K13" i="3" s="1"/>
  <c r="L15" i="3"/>
  <c r="N15" i="3" s="1"/>
  <c r="D5" i="3"/>
  <c r="E5" i="3" s="1"/>
  <c r="F5" i="3" s="1"/>
  <c r="G5" i="3" s="1"/>
  <c r="H5" i="3" s="1"/>
  <c r="I5" i="3" s="1"/>
  <c r="J5" i="3" s="1"/>
  <c r="K5" i="3" s="1"/>
  <c r="P99" i="2"/>
  <c r="N32" i="2"/>
  <c r="L32" i="2"/>
  <c r="C24" i="2"/>
  <c r="P24" i="2" s="1"/>
  <c r="D3" i="2"/>
  <c r="C19" i="2"/>
  <c r="C39" i="2"/>
  <c r="C45" i="2"/>
  <c r="C21" i="2"/>
  <c r="F59" i="2"/>
  <c r="C60" i="2"/>
  <c r="D55" i="1" s="1"/>
  <c r="C36" i="2"/>
  <c r="D32" i="2"/>
  <c r="C38" i="2"/>
  <c r="G11" i="4"/>
  <c r="N9" i="4"/>
  <c r="I7" i="2"/>
  <c r="H6" i="5" s="1"/>
  <c r="H8" i="5" s="1"/>
  <c r="H7" i="2"/>
  <c r="G6" i="5" s="1"/>
  <c r="G8" i="5" s="1"/>
  <c r="G7" i="2"/>
  <c r="F6" i="5" s="1"/>
  <c r="F8" i="5" s="1"/>
  <c r="F7" i="2"/>
  <c r="E6" i="5" s="1"/>
  <c r="E8" i="5" s="1"/>
  <c r="E7" i="2"/>
  <c r="D6" i="5" s="1"/>
  <c r="P39" i="2" l="1"/>
  <c r="D34" i="1"/>
  <c r="C66" i="2"/>
  <c r="D63" i="1" s="1"/>
  <c r="D64" i="1"/>
  <c r="O7" i="5"/>
  <c r="C8" i="5"/>
  <c r="O6" i="5"/>
  <c r="D8" i="5"/>
  <c r="P38" i="2"/>
  <c r="D33" i="1"/>
  <c r="P19" i="2"/>
  <c r="D17" i="1"/>
  <c r="D21" i="1"/>
  <c r="N10" i="3"/>
  <c r="M10" i="3"/>
  <c r="P46" i="2"/>
  <c r="D41" i="1"/>
  <c r="M15" i="3"/>
  <c r="M11" i="3"/>
  <c r="E141" i="1"/>
  <c r="F141" i="1"/>
  <c r="F88" i="1"/>
  <c r="E88" i="1"/>
  <c r="P21" i="2"/>
  <c r="D19" i="1"/>
  <c r="E19" i="1" s="1"/>
  <c r="F6" i="2"/>
  <c r="C21" i="3"/>
  <c r="P37" i="2"/>
  <c r="D32" i="1"/>
  <c r="P43" i="2"/>
  <c r="D38" i="1"/>
  <c r="M16" i="3"/>
  <c r="M8" i="3"/>
  <c r="F82" i="1"/>
  <c r="E82" i="1"/>
  <c r="P36" i="2"/>
  <c r="D31" i="1"/>
  <c r="C32" i="2"/>
  <c r="D27" i="1" s="1"/>
  <c r="P45" i="2"/>
  <c r="D40" i="1"/>
  <c r="M9" i="3"/>
  <c r="M7" i="3"/>
  <c r="F135" i="1"/>
  <c r="E135" i="1"/>
  <c r="F66" i="1"/>
  <c r="E66" i="1"/>
  <c r="E77" i="1"/>
  <c r="F77" i="1"/>
  <c r="E4" i="3"/>
  <c r="D17" i="3"/>
  <c r="D18" i="3" s="1"/>
  <c r="E55" i="1"/>
  <c r="F55" i="1"/>
  <c r="F100" i="1"/>
  <c r="E100" i="1"/>
  <c r="E63" i="1"/>
  <c r="F63" i="1"/>
  <c r="F98" i="1"/>
  <c r="E98" i="1"/>
  <c r="P101" i="2"/>
  <c r="F72" i="1"/>
  <c r="E72" i="1"/>
  <c r="E5" i="2"/>
  <c r="E3" i="2" s="1"/>
  <c r="F5" i="2"/>
  <c r="F3" i="2" s="1"/>
  <c r="P67" i="2"/>
  <c r="C7" i="2"/>
  <c r="D20" i="3"/>
  <c r="F6" i="3"/>
  <c r="E19" i="3"/>
  <c r="L5" i="3"/>
  <c r="L14" i="3"/>
  <c r="L13" i="3"/>
  <c r="C59" i="2"/>
  <c r="P60" i="2"/>
  <c r="C12" i="4"/>
  <c r="D12" i="4"/>
  <c r="N14" i="3" l="1"/>
  <c r="M14" i="3"/>
  <c r="E40" i="1"/>
  <c r="F40" i="1"/>
  <c r="F17" i="1"/>
  <c r="E17" i="1"/>
  <c r="F64" i="1"/>
  <c r="E64" i="1"/>
  <c r="G6" i="2"/>
  <c r="G5" i="2" s="1"/>
  <c r="D21" i="3"/>
  <c r="F38" i="1"/>
  <c r="E38" i="1"/>
  <c r="N5" i="3"/>
  <c r="M5" i="3"/>
  <c r="P66" i="2"/>
  <c r="F27" i="1"/>
  <c r="E27" i="1"/>
  <c r="F33" i="1"/>
  <c r="E33" i="1"/>
  <c r="O8" i="5"/>
  <c r="E34" i="1"/>
  <c r="F34" i="1"/>
  <c r="N13" i="3"/>
  <c r="M13" i="3"/>
  <c r="P7" i="2"/>
  <c r="D7" i="1"/>
  <c r="F4" i="3"/>
  <c r="E17" i="3"/>
  <c r="E18" i="3" s="1"/>
  <c r="E20" i="3" s="1"/>
  <c r="E21" i="3" s="1"/>
  <c r="F31" i="1"/>
  <c r="E31" i="1"/>
  <c r="E32" i="1"/>
  <c r="F32" i="1"/>
  <c r="E41" i="1"/>
  <c r="F41" i="1"/>
  <c r="F21" i="1"/>
  <c r="E21" i="1"/>
  <c r="P59" i="2"/>
  <c r="D54" i="1"/>
  <c r="P32" i="2"/>
  <c r="G6" i="3"/>
  <c r="F19" i="3"/>
  <c r="E12" i="4"/>
  <c r="G4" i="3" l="1"/>
  <c r="F17" i="3"/>
  <c r="F18" i="3" s="1"/>
  <c r="F20" i="3" s="1"/>
  <c r="F7" i="1"/>
  <c r="E7" i="1"/>
  <c r="F54" i="1"/>
  <c r="E54" i="1"/>
  <c r="H6" i="3"/>
  <c r="G19" i="3"/>
  <c r="H6" i="2"/>
  <c r="F12" i="4"/>
  <c r="I6" i="2" l="1"/>
  <c r="I5" i="2" s="1"/>
  <c r="I3" i="2" s="1"/>
  <c r="F21" i="3"/>
  <c r="H4" i="3"/>
  <c r="G17" i="3"/>
  <c r="G18" i="3" s="1"/>
  <c r="G20" i="3" s="1"/>
  <c r="G21" i="3" s="1"/>
  <c r="H5" i="2"/>
  <c r="I6" i="3"/>
  <c r="H19" i="3"/>
  <c r="G3" i="2"/>
  <c r="G12" i="4"/>
  <c r="I4" i="3" l="1"/>
  <c r="H17" i="3"/>
  <c r="H18" i="3" s="1"/>
  <c r="H20" i="3" s="1"/>
  <c r="J6" i="3"/>
  <c r="I19" i="3"/>
  <c r="J6" i="2"/>
  <c r="J5" i="2" s="1"/>
  <c r="N10" i="4"/>
  <c r="K6" i="2" l="1"/>
  <c r="K5" i="2" s="1"/>
  <c r="K3" i="2" s="1"/>
  <c r="H21" i="3"/>
  <c r="I20" i="3"/>
  <c r="J4" i="3"/>
  <c r="I17" i="3"/>
  <c r="I18" i="3" s="1"/>
  <c r="K6" i="3"/>
  <c r="J19" i="3"/>
  <c r="H3" i="2"/>
  <c r="I12" i="4"/>
  <c r="J12" i="4"/>
  <c r="J17" i="3" l="1"/>
  <c r="J18" i="3" s="1"/>
  <c r="J20" i="3" s="1"/>
  <c r="K4" i="3"/>
  <c r="K17" i="3" s="1"/>
  <c r="K18" i="3" s="1"/>
  <c r="L4" i="3"/>
  <c r="L6" i="2"/>
  <c r="L5" i="2" s="1"/>
  <c r="L3" i="2" s="1"/>
  <c r="I21" i="3"/>
  <c r="K19" i="3"/>
  <c r="L6" i="3"/>
  <c r="K12" i="4"/>
  <c r="M6" i="2" l="1"/>
  <c r="M5" i="2" s="1"/>
  <c r="M3" i="2" s="1"/>
  <c r="J21" i="3"/>
  <c r="L17" i="3"/>
  <c r="N4" i="3"/>
  <c r="M4" i="3"/>
  <c r="N6" i="3"/>
  <c r="L19" i="3"/>
  <c r="M19" i="3" s="1"/>
  <c r="M6" i="3"/>
  <c r="K20" i="3"/>
  <c r="J3" i="2"/>
  <c r="L12" i="4"/>
  <c r="N12" i="4"/>
  <c r="D16" i="2"/>
  <c r="E17" i="2"/>
  <c r="N17" i="3" l="1"/>
  <c r="L18" i="3"/>
  <c r="M17" i="3"/>
  <c r="N19" i="3"/>
  <c r="K21" i="3"/>
  <c r="N6" i="2"/>
  <c r="F17" i="2"/>
  <c r="G17" i="2" s="1"/>
  <c r="E16" i="2"/>
  <c r="E14" i="2" s="1"/>
  <c r="F53" i="2"/>
  <c r="D14" i="2"/>
  <c r="D2" i="2" l="1"/>
  <c r="D150" i="2" s="1"/>
  <c r="L20" i="3"/>
  <c r="N18" i="3"/>
  <c r="N5" i="2"/>
  <c r="C6" i="2"/>
  <c r="D6" i="1" s="1"/>
  <c r="E53" i="2"/>
  <c r="E2" i="2"/>
  <c r="E150" i="2" s="1"/>
  <c r="H17" i="2"/>
  <c r="I17" i="2" s="1"/>
  <c r="J17" i="2" s="1"/>
  <c r="G16" i="2"/>
  <c r="G14" i="2" s="1"/>
  <c r="G2" i="2" s="1"/>
  <c r="G150" i="2" s="1"/>
  <c r="F16" i="2"/>
  <c r="F14" i="2" s="1"/>
  <c r="E56" i="2"/>
  <c r="H56" i="2"/>
  <c r="H53" i="2"/>
  <c r="G56" i="2"/>
  <c r="G53" i="2"/>
  <c r="M20" i="3" l="1"/>
  <c r="M3" i="3" s="1"/>
  <c r="N20" i="3"/>
  <c r="F6" i="1"/>
  <c r="E6" i="1"/>
  <c r="P6" i="2"/>
  <c r="C5" i="2"/>
  <c r="D5" i="1" s="1"/>
  <c r="G52" i="2"/>
  <c r="G30" i="2" s="1"/>
  <c r="G28" i="2" s="1"/>
  <c r="E52" i="2"/>
  <c r="E30" i="2" s="1"/>
  <c r="E28" i="2" s="1"/>
  <c r="F56" i="2"/>
  <c r="F52" i="2" s="1"/>
  <c r="F30" i="2" s="1"/>
  <c r="F28" i="2" s="1"/>
  <c r="F2" i="2"/>
  <c r="F150" i="2" s="1"/>
  <c r="I16" i="2"/>
  <c r="I14" i="2" s="1"/>
  <c r="I2" i="2" s="1"/>
  <c r="I150" i="2" s="1"/>
  <c r="H16" i="2"/>
  <c r="H14" i="2" s="1"/>
  <c r="H2" i="2" s="1"/>
  <c r="H150" i="2" s="1"/>
  <c r="H52" i="2"/>
  <c r="H30" i="2" s="1"/>
  <c r="H28" i="2" s="1"/>
  <c r="D56" i="2"/>
  <c r="D53" i="2"/>
  <c r="I53" i="2"/>
  <c r="I56" i="2"/>
  <c r="J16" i="2"/>
  <c r="J14" i="2" s="1"/>
  <c r="J2" i="2" s="1"/>
  <c r="J150" i="2" s="1"/>
  <c r="K17" i="2"/>
  <c r="C3" i="2" l="1"/>
  <c r="D3" i="1" s="1"/>
  <c r="E3" i="1" s="1"/>
  <c r="F5" i="1"/>
  <c r="E5" i="1"/>
  <c r="N3" i="2"/>
  <c r="P5" i="2"/>
  <c r="I52" i="2"/>
  <c r="I30" i="2" s="1"/>
  <c r="I28" i="2" s="1"/>
  <c r="D52" i="2"/>
  <c r="L17" i="2"/>
  <c r="K16" i="2"/>
  <c r="K14" i="2" s="1"/>
  <c r="K2" i="2" s="1"/>
  <c r="K150" i="2" s="1"/>
  <c r="J56" i="2"/>
  <c r="J53" i="2"/>
  <c r="F3" i="1" l="1"/>
  <c r="P3" i="2"/>
  <c r="D30" i="2"/>
  <c r="D28" i="2" s="1"/>
  <c r="J52" i="2"/>
  <c r="J30" i="2" s="1"/>
  <c r="J28" i="2" s="1"/>
  <c r="M17" i="2"/>
  <c r="L16" i="2"/>
  <c r="L14" i="2" s="1"/>
  <c r="L2" i="2" s="1"/>
  <c r="L150" i="2" s="1"/>
  <c r="L56" i="2" l="1"/>
  <c r="L53" i="2"/>
  <c r="N17" i="2"/>
  <c r="M16" i="2"/>
  <c r="M14" i="2" s="1"/>
  <c r="M2" i="2" s="1"/>
  <c r="M150" i="2" s="1"/>
  <c r="K56" i="2"/>
  <c r="K53" i="2"/>
  <c r="L52" i="2" l="1"/>
  <c r="L30" i="2" s="1"/>
  <c r="L28" i="2" s="1"/>
  <c r="K52" i="2"/>
  <c r="N16" i="2"/>
  <c r="N14" i="2" s="1"/>
  <c r="N2" i="2" s="1"/>
  <c r="N150" i="2" s="1"/>
  <c r="O17" i="2"/>
  <c r="M56" i="2"/>
  <c r="M53" i="2"/>
  <c r="K30" i="2" l="1"/>
  <c r="K28" i="2" s="1"/>
  <c r="M52" i="2"/>
  <c r="M30" i="2" s="1"/>
  <c r="M28" i="2" s="1"/>
  <c r="O16" i="2"/>
  <c r="C17" i="2"/>
  <c r="N53" i="2"/>
  <c r="N56" i="2"/>
  <c r="P17" i="2" l="1"/>
  <c r="D15" i="1"/>
  <c r="E15" i="1" s="1"/>
  <c r="N52" i="2"/>
  <c r="N30" i="2" s="1"/>
  <c r="N28" i="2" s="1"/>
  <c r="O14" i="2"/>
  <c r="C16" i="2"/>
  <c r="O2" i="2" l="1"/>
  <c r="O150" i="2" s="1"/>
  <c r="C14" i="2"/>
  <c r="D13" i="1" s="1"/>
  <c r="P16" i="2"/>
  <c r="D14" i="1"/>
  <c r="C2" i="2"/>
  <c r="O53" i="2"/>
  <c r="O56" i="2"/>
  <c r="C55" i="2"/>
  <c r="F14" i="1" l="1"/>
  <c r="E14" i="1"/>
  <c r="F13" i="1"/>
  <c r="E13" i="1"/>
  <c r="P14" i="2"/>
  <c r="P55" i="2"/>
  <c r="D50" i="1"/>
  <c r="C150" i="2"/>
  <c r="D2" i="1"/>
  <c r="D147" i="1" s="1"/>
  <c r="C56" i="2"/>
  <c r="O52" i="2"/>
  <c r="C53" i="2"/>
  <c r="D48" i="1" s="1"/>
  <c r="F50" i="1" l="1"/>
  <c r="E50" i="1"/>
  <c r="F48" i="1"/>
  <c r="E48" i="1"/>
  <c r="P56" i="2"/>
  <c r="D51" i="1"/>
  <c r="F2" i="1"/>
  <c r="F147" i="1" s="1"/>
  <c r="E2" i="1"/>
  <c r="E147" i="1" s="1"/>
  <c r="C52" i="2"/>
  <c r="P53" i="2"/>
  <c r="O30" i="2"/>
  <c r="O28" i="2" s="1"/>
  <c r="D47" i="1" l="1"/>
  <c r="E47" i="1" s="1"/>
  <c r="C30" i="2"/>
  <c r="C28" i="2" s="1"/>
  <c r="C151" i="2" s="1"/>
  <c r="E51" i="1"/>
  <c r="F51" i="1"/>
  <c r="F47" i="1"/>
  <c r="P52" i="2"/>
  <c r="C132" i="2"/>
  <c r="C126" i="2" l="1"/>
  <c r="D128" i="1"/>
  <c r="D25" i="1"/>
  <c r="F25" i="1" s="1"/>
  <c r="C121" i="2"/>
  <c r="D121" i="1"/>
  <c r="P30" i="2"/>
  <c r="P28" i="2"/>
  <c r="M151" i="2"/>
  <c r="M153" i="2" s="1"/>
  <c r="G151" i="2"/>
  <c r="G153" i="2" s="1"/>
  <c r="O151" i="2"/>
  <c r="O153" i="2" s="1"/>
  <c r="L151" i="2"/>
  <c r="L153" i="2" s="1"/>
  <c r="D151" i="2"/>
  <c r="D153" i="2" s="1"/>
  <c r="D162" i="2" s="1"/>
  <c r="K151" i="2"/>
  <c r="K153" i="2" s="1"/>
  <c r="N151" i="2"/>
  <c r="N153" i="2" s="1"/>
  <c r="F151" i="2"/>
  <c r="F153" i="2" s="1"/>
  <c r="H151" i="2"/>
  <c r="H153" i="2" s="1"/>
  <c r="J151" i="2"/>
  <c r="J153" i="2" s="1"/>
  <c r="I151" i="2"/>
  <c r="I153" i="2" s="1"/>
  <c r="E151" i="2"/>
  <c r="E153" i="2" s="1"/>
  <c r="E162" i="2" s="1"/>
  <c r="F128" i="1" l="1"/>
  <c r="E128" i="1"/>
  <c r="E25" i="1"/>
  <c r="C119" i="2"/>
  <c r="D116" i="1"/>
  <c r="F121" i="1"/>
  <c r="E121" i="1"/>
  <c r="D161" i="2"/>
  <c r="O161" i="2"/>
  <c r="F154" i="2"/>
  <c r="I161" i="2"/>
  <c r="I154" i="2"/>
  <c r="I162" i="2"/>
  <c r="G154" i="2"/>
  <c r="G162" i="2"/>
  <c r="G161" i="2"/>
  <c r="N162" i="2"/>
  <c r="N161" i="2"/>
  <c r="N154" i="2"/>
  <c r="M161" i="2"/>
  <c r="M154" i="2"/>
  <c r="M162" i="2"/>
  <c r="J154" i="2"/>
  <c r="J161" i="2"/>
  <c r="J162" i="2"/>
  <c r="L162" i="2"/>
  <c r="L154" i="2"/>
  <c r="L161" i="2"/>
  <c r="H162" i="2"/>
  <c r="H154" i="2"/>
  <c r="H161" i="2"/>
  <c r="K154" i="2"/>
  <c r="K161" i="2"/>
  <c r="K162" i="2"/>
  <c r="E161" i="2"/>
  <c r="E159" i="2" s="1"/>
  <c r="E157" i="2" s="1"/>
  <c r="F161" i="2"/>
  <c r="E154" i="2"/>
  <c r="O162" i="2"/>
  <c r="D154" i="2"/>
  <c r="F162" i="2"/>
  <c r="O154" i="2"/>
  <c r="F116" i="1" l="1"/>
  <c r="E116" i="1"/>
  <c r="C152" i="2"/>
  <c r="C153" i="2" s="1"/>
  <c r="C154" i="2" s="1"/>
  <c r="D114" i="1"/>
  <c r="O159" i="2"/>
  <c r="O157" i="2" s="1"/>
  <c r="N159" i="2"/>
  <c r="E164" i="2"/>
  <c r="G159" i="2"/>
  <c r="O164" i="2"/>
  <c r="L159" i="2"/>
  <c r="M159" i="2"/>
  <c r="C162" i="2"/>
  <c r="D111" i="1" s="1"/>
  <c r="E111" i="1" s="1"/>
  <c r="J159" i="2"/>
  <c r="F159" i="2"/>
  <c r="K159" i="2"/>
  <c r="H159" i="2"/>
  <c r="I159" i="2"/>
  <c r="D159" i="2"/>
  <c r="C161" i="2"/>
  <c r="D149" i="1" l="1"/>
  <c r="E114" i="1"/>
  <c r="E149" i="1" s="1"/>
  <c r="F114" i="1"/>
  <c r="F149" i="1" s="1"/>
  <c r="N157" i="2"/>
  <c r="N164" i="2"/>
  <c r="D157" i="2"/>
  <c r="D164" i="2"/>
  <c r="G157" i="2"/>
  <c r="G164" i="2"/>
  <c r="K157" i="2"/>
  <c r="K164" i="2"/>
  <c r="M157" i="2"/>
  <c r="M164" i="2"/>
  <c r="L157" i="2"/>
  <c r="L164" i="2"/>
  <c r="I157" i="2"/>
  <c r="I164" i="2"/>
  <c r="J157" i="2"/>
  <c r="J164" i="2"/>
  <c r="H157" i="2"/>
  <c r="H164" i="2"/>
  <c r="F157" i="2"/>
  <c r="F164" i="2"/>
  <c r="D110" i="1"/>
  <c r="E110" i="1" s="1"/>
  <c r="C159" i="2"/>
  <c r="C164" i="2" s="1"/>
  <c r="C157" i="2" l="1"/>
  <c r="D109" i="1"/>
  <c r="E109" i="1" s="1"/>
  <c r="D24" i="1" l="1"/>
  <c r="F24" i="1" l="1"/>
  <c r="F148" i="1" s="1"/>
  <c r="D148" i="1"/>
  <c r="E24" i="1"/>
  <c r="E148" i="1" s="1"/>
</calcChain>
</file>

<file path=xl/comments1.xml><?xml version="1.0" encoding="utf-8"?>
<comments xmlns="http://schemas.openxmlformats.org/spreadsheetml/2006/main">
  <authors>
    <author>luis eduardo</author>
  </authors>
  <commentList>
    <comment ref="D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E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F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G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H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I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J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K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L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M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N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  <comment ref="O55" authorId="0" shapeId="0">
      <text>
        <r>
          <rPr>
            <b/>
            <sz val="9"/>
            <color indexed="81"/>
            <rFont val="Tahoma"/>
            <family val="2"/>
          </rPr>
          <t>luis eduardo:</t>
        </r>
        <r>
          <rPr>
            <sz val="9"/>
            <color indexed="81"/>
            <rFont val="Tahoma"/>
            <family val="2"/>
          </rPr>
          <t xml:space="preserve">
IVA ARRIENDO OFICINA -ARRIENDO PARQUEADERO -
TELEFONIA E INTERNET
</t>
        </r>
      </text>
    </comment>
  </commentList>
</comments>
</file>

<file path=xl/sharedStrings.xml><?xml version="1.0" encoding="utf-8"?>
<sst xmlns="http://schemas.openxmlformats.org/spreadsheetml/2006/main" count="603" uniqueCount="258">
  <si>
    <t>4</t>
  </si>
  <si>
    <t>I N G R E S O S</t>
  </si>
  <si>
    <t>41</t>
  </si>
  <si>
    <t>OPERACIONALES</t>
  </si>
  <si>
    <t>4145</t>
  </si>
  <si>
    <t>TRANSPORTE,ALMACENAMIENTO Y CO</t>
  </si>
  <si>
    <t>41450501</t>
  </si>
  <si>
    <t>POR SERVICIO DE TRANSPORTE EN COLEGIOS</t>
  </si>
  <si>
    <t>41450502</t>
  </si>
  <si>
    <t>POR SERVICIO DE TRANSPORTE CON VEHICULOS</t>
  </si>
  <si>
    <t>41450503</t>
  </si>
  <si>
    <t>POR SERVICIO DE TRANSPORTE ADMON(RODAMIE</t>
  </si>
  <si>
    <t>4175</t>
  </si>
  <si>
    <t>DEVOLUCIONES EN VENTAS</t>
  </si>
  <si>
    <t>417501</t>
  </si>
  <si>
    <t>42</t>
  </si>
  <si>
    <t>NO OPERACIONALES</t>
  </si>
  <si>
    <t>4210</t>
  </si>
  <si>
    <t>FINANCIEROS</t>
  </si>
  <si>
    <t>421005</t>
  </si>
  <si>
    <t>INTERESES</t>
  </si>
  <si>
    <t>421060</t>
  </si>
  <si>
    <t>SANCIONES CHEQUES DEVUELTOS</t>
  </si>
  <si>
    <t>421095</t>
  </si>
  <si>
    <t>OTROS</t>
  </si>
  <si>
    <t>4250</t>
  </si>
  <si>
    <t>RECUPERACIONES</t>
  </si>
  <si>
    <t>425050</t>
  </si>
  <si>
    <t>REINTEGRO DE OTROS COSTOS Y GA</t>
  </si>
  <si>
    <t>4295</t>
  </si>
  <si>
    <t>DIVERSOS</t>
  </si>
  <si>
    <t>429505</t>
  </si>
  <si>
    <t>APROVECHAMIENTOS</t>
  </si>
  <si>
    <t>5</t>
  </si>
  <si>
    <t>G A S T O S</t>
  </si>
  <si>
    <t>51</t>
  </si>
  <si>
    <t>OPERACIONALES DE ADMINISTRACIO</t>
  </si>
  <si>
    <t>5105</t>
  </si>
  <si>
    <t>GASTOS DEL PERSONAL</t>
  </si>
  <si>
    <t>510506</t>
  </si>
  <si>
    <t>SUELDOS</t>
  </si>
  <si>
    <t>510515</t>
  </si>
  <si>
    <t>HORAS EXTRAS Y RECARGOS</t>
  </si>
  <si>
    <t>510527</t>
  </si>
  <si>
    <t>AUXILIO  DE TRANSPORTE</t>
  </si>
  <si>
    <t>510530</t>
  </si>
  <si>
    <t>CESANTIAS</t>
  </si>
  <si>
    <t>510533</t>
  </si>
  <si>
    <t>INTERESES SOBRE CESANTIAS</t>
  </si>
  <si>
    <t>510536</t>
  </si>
  <si>
    <t>PRIMA DE SERVICIOS</t>
  </si>
  <si>
    <t>510539</t>
  </si>
  <si>
    <t>VACACIONES</t>
  </si>
  <si>
    <t>510545</t>
  </si>
  <si>
    <t>AUXILIOS</t>
  </si>
  <si>
    <t>510551</t>
  </si>
  <si>
    <t>DOTACION Y SUMINISTRO A TRABAJ</t>
  </si>
  <si>
    <t>510566</t>
  </si>
  <si>
    <t>GASTOS DEPORTIVOS Y DE RECREAC</t>
  </si>
  <si>
    <t>510568</t>
  </si>
  <si>
    <t>APORTES ADMIN DE RIESGOS PROF. ARP</t>
  </si>
  <si>
    <t>510569</t>
  </si>
  <si>
    <t>APORTES A ENT. PROMOT. DE SALUD EPS</t>
  </si>
  <si>
    <t>510570</t>
  </si>
  <si>
    <t>APORTES FONDO DE PENSIONES</t>
  </si>
  <si>
    <t>510572</t>
  </si>
  <si>
    <t>APORTES A CAJAS DE COMPENSACION</t>
  </si>
  <si>
    <t>5110</t>
  </si>
  <si>
    <t>HONORARIOS</t>
  </si>
  <si>
    <t>511030</t>
  </si>
  <si>
    <t>ASESORIA FINANCIERA</t>
  </si>
  <si>
    <t>511095</t>
  </si>
  <si>
    <t>5115</t>
  </si>
  <si>
    <t>IMPUESTOS</t>
  </si>
  <si>
    <t>511505</t>
  </si>
  <si>
    <t>INDUSTRIA Y COMERCIO</t>
  </si>
  <si>
    <t>511510</t>
  </si>
  <si>
    <t>DE TIMBRES</t>
  </si>
  <si>
    <t>511570</t>
  </si>
  <si>
    <t>IVA DESCONTABLE</t>
  </si>
  <si>
    <t>511575</t>
  </si>
  <si>
    <t>4 X MIL GMF</t>
  </si>
  <si>
    <t>511595</t>
  </si>
  <si>
    <t>5120</t>
  </si>
  <si>
    <t>ARRENDAMIENTOS</t>
  </si>
  <si>
    <t>512010</t>
  </si>
  <si>
    <t>CONSTRUCCIONES Y EDIFICACIONES</t>
  </si>
  <si>
    <t>5125</t>
  </si>
  <si>
    <t>CONTRIBUCIONES Y AFILIACIONES</t>
  </si>
  <si>
    <t>512505</t>
  </si>
  <si>
    <t>CONTRIBUCIONES</t>
  </si>
  <si>
    <t>5130</t>
  </si>
  <si>
    <t>SEGUROS</t>
  </si>
  <si>
    <t>513075</t>
  </si>
  <si>
    <t>OBLIGATORIO ACCIDENTE DE TRANS</t>
  </si>
  <si>
    <t>5135</t>
  </si>
  <si>
    <t>SERVICIOS</t>
  </si>
  <si>
    <t>513505</t>
  </si>
  <si>
    <t>ASEO Y VIGILANCIA</t>
  </si>
  <si>
    <t>513515</t>
  </si>
  <si>
    <t>ASISTENCIA TECNICA</t>
  </si>
  <si>
    <t>513535</t>
  </si>
  <si>
    <t>TELEFONO</t>
  </si>
  <si>
    <t>513540</t>
  </si>
  <si>
    <t>CORREO, PORTES Y ACARREOS</t>
  </si>
  <si>
    <t>513545</t>
  </si>
  <si>
    <t>FAX Y TELEX</t>
  </si>
  <si>
    <t>513550</t>
  </si>
  <si>
    <t>TRANSPORTES, FLETES Y ACARREOS</t>
  </si>
  <si>
    <t>513560</t>
  </si>
  <si>
    <t>PUBLICIDAD</t>
  </si>
  <si>
    <t>5140</t>
  </si>
  <si>
    <t>GASTOS LEGALES</t>
  </si>
  <si>
    <t>514010</t>
  </si>
  <si>
    <t>REGISTRO MERCANTIL</t>
  </si>
  <si>
    <t>514015</t>
  </si>
  <si>
    <t>TRAMITES Y LICENCIAS</t>
  </si>
  <si>
    <t>514095</t>
  </si>
  <si>
    <t>5145</t>
  </si>
  <si>
    <t>MANTENIMIENTO Y EDIFICACIONES</t>
  </si>
  <si>
    <t>514510</t>
  </si>
  <si>
    <t>514515</t>
  </si>
  <si>
    <t>MAQUINARIA Y EQUIPO</t>
  </si>
  <si>
    <t>514525</t>
  </si>
  <si>
    <t>EQUIPO DE COMPUTACION Y COMUNI</t>
  </si>
  <si>
    <t>5160</t>
  </si>
  <si>
    <t>DEPRECIACIONES</t>
  </si>
  <si>
    <t>516005</t>
  </si>
  <si>
    <t>516015</t>
  </si>
  <si>
    <t>EQUIPO DE OFICINA</t>
  </si>
  <si>
    <t>516020</t>
  </si>
  <si>
    <t>516035</t>
  </si>
  <si>
    <t>FLOTA Y EQUIPO DE TANSPORTE</t>
  </si>
  <si>
    <t>5195</t>
  </si>
  <si>
    <t>519520</t>
  </si>
  <si>
    <t>GASTOS DE REPRESENTACION</t>
  </si>
  <si>
    <t>519525</t>
  </si>
  <si>
    <t>ELEMENTOS DE ASEO Y CAFETERIA</t>
  </si>
  <si>
    <t>519530</t>
  </si>
  <si>
    <t>UTILES PAPELERIA Y FOTOCOPIAS</t>
  </si>
  <si>
    <t>519545</t>
  </si>
  <si>
    <t>TAXIS Y BUSES</t>
  </si>
  <si>
    <t>519560</t>
  </si>
  <si>
    <t>CASINO Y RESTAURANTE</t>
  </si>
  <si>
    <t>519565</t>
  </si>
  <si>
    <t>PARQUEADEROS</t>
  </si>
  <si>
    <t>53</t>
  </si>
  <si>
    <t>5305</t>
  </si>
  <si>
    <t>530505</t>
  </si>
  <si>
    <t>GASTOS BANCARIOS</t>
  </si>
  <si>
    <t>530515</t>
  </si>
  <si>
    <t>COMISIONES</t>
  </si>
  <si>
    <t>530595</t>
  </si>
  <si>
    <t>5310</t>
  </si>
  <si>
    <t>PERDIDA EN VENTA Y RETIRO DE B</t>
  </si>
  <si>
    <t>531025</t>
  </si>
  <si>
    <t>VENTA DE OTROS ACTIVOS</t>
  </si>
  <si>
    <t>5395</t>
  </si>
  <si>
    <t>GASTOS DIVERSOS</t>
  </si>
  <si>
    <t>539520</t>
  </si>
  <si>
    <t>MULTAS,SANCIONES Y LITIGIOS</t>
  </si>
  <si>
    <t>54</t>
  </si>
  <si>
    <t>IMPUESTO DE RENTA Y COMPLEMENT</t>
  </si>
  <si>
    <t>5405</t>
  </si>
  <si>
    <t>540505</t>
  </si>
  <si>
    <t>540510</t>
  </si>
  <si>
    <t>IMPUESTO PARA LA EQUIDAD CREE</t>
  </si>
  <si>
    <t>6</t>
  </si>
  <si>
    <t>C O S T O  D E   V E N T A</t>
  </si>
  <si>
    <t>61</t>
  </si>
  <si>
    <t>COSTO DE VENTAS Y DE PRESTACIO</t>
  </si>
  <si>
    <t>6125</t>
  </si>
  <si>
    <t>DE SUMINISTRO DE ELECTRICIDAD,</t>
  </si>
  <si>
    <t>612515</t>
  </si>
  <si>
    <t>CAPACITACION,DEPURACION Y DIST</t>
  </si>
  <si>
    <t>6145</t>
  </si>
  <si>
    <t>DE TRANSPORTE,ALMACENAMIENTO Y</t>
  </si>
  <si>
    <t>614505</t>
  </si>
  <si>
    <t>DE TRANSPORTE POR VIA CARRETER</t>
  </si>
  <si>
    <t>61450501</t>
  </si>
  <si>
    <t>COMBUSTIBLE</t>
  </si>
  <si>
    <t>61450502</t>
  </si>
  <si>
    <t>MANTENIMIENTO</t>
  </si>
  <si>
    <t>61450503</t>
  </si>
  <si>
    <t>TRANSPORTES</t>
  </si>
  <si>
    <t>61450512</t>
  </si>
  <si>
    <t>GASTOS MONITORA</t>
  </si>
  <si>
    <t>61450514</t>
  </si>
  <si>
    <t>SOAT</t>
  </si>
  <si>
    <t>61450515</t>
  </si>
  <si>
    <t>TODO RIESGO</t>
  </si>
  <si>
    <t>61450516</t>
  </si>
  <si>
    <t>RODAMIENTO</t>
  </si>
  <si>
    <t>61450517</t>
  </si>
  <si>
    <t>PARQUEADEO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</si>
  <si>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</si>
  <si>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</si>
  <si>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</si>
  <si>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</si>
  <si>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</si>
  <si>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</si>
  <si>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</si>
  <si>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</si>
  <si>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</si>
  <si>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</si>
  <si>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</si>
  <si>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</si>
  <si>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AÑO</t>
  </si>
  <si>
    <t xml:space="preserve">FACTURACION </t>
  </si>
  <si>
    <t>COMISION 7%</t>
  </si>
  <si>
    <t>RUTA 1</t>
  </si>
  <si>
    <t>RUTA 2</t>
  </si>
  <si>
    <t>RUTA 3</t>
  </si>
  <si>
    <t>RUTA 4</t>
  </si>
  <si>
    <t>RUTA 5</t>
  </si>
  <si>
    <t>RUTA 6</t>
  </si>
  <si>
    <t>RUTA 7</t>
  </si>
  <si>
    <t>RUTA 8</t>
  </si>
  <si>
    <t>RUTA 9</t>
  </si>
  <si>
    <t>RUTA 10</t>
  </si>
  <si>
    <t>RUTA 11</t>
  </si>
  <si>
    <t>RUTA 12</t>
  </si>
  <si>
    <t>RUTA 13</t>
  </si>
  <si>
    <t>UTILIDAD EMPRESA</t>
  </si>
  <si>
    <t xml:space="preserve">MARZO </t>
  </si>
  <si>
    <t>OTROS (CALIDAD) 171016 (1.749.000)</t>
  </si>
  <si>
    <t>FAX Y TELEX (internet)</t>
  </si>
  <si>
    <t>CONTRIBUCIONES (tasa superpuertos)</t>
  </si>
  <si>
    <t>GASTOS DE REPRESENTACION (atención socieos y empleados)</t>
  </si>
  <si>
    <t>SERVICIO DE TRANSPORTE</t>
  </si>
  <si>
    <t>GASTOS BANCARIOS (PORTAL AV VILLAS)</t>
  </si>
  <si>
    <t>UTILIDAD BRUTA</t>
  </si>
  <si>
    <t>COSTOS DE LA OPERACIÓN</t>
  </si>
  <si>
    <t>**** VENTAS TIENE UN MARGEN DESDE MZO DEL 5% DE RETIROS</t>
  </si>
  <si>
    <t>PARTICIPACION</t>
  </si>
  <si>
    <t>RESUMEN DE OPERACIÓN</t>
  </si>
  <si>
    <t>EJECUCION 2015</t>
  </si>
  <si>
    <t>PRESUPUESTO 2016</t>
  </si>
  <si>
    <t>VARIACION %</t>
  </si>
  <si>
    <r>
      <t xml:space="preserve">VARIACION </t>
    </r>
    <r>
      <rPr>
        <b/>
        <u val="singleAccounting"/>
        <sz val="11"/>
        <color theme="1"/>
        <rFont val="Calibri"/>
        <family val="2"/>
        <scheme val="minor"/>
      </rPr>
      <t>$</t>
    </r>
  </si>
  <si>
    <t>CUENTA</t>
  </si>
  <si>
    <t>NOMBRE DE CUENTA</t>
  </si>
  <si>
    <t>UTILIDAD ANTES DE IMPUESTOS</t>
  </si>
  <si>
    <t>PRESUPUESTO</t>
  </si>
  <si>
    <t>EJECUCION</t>
  </si>
  <si>
    <t>VARIACION</t>
  </si>
  <si>
    <t>DINERO</t>
  </si>
  <si>
    <t xml:space="preserve">VARIACION </t>
  </si>
  <si>
    <t>PORCENTUAL</t>
  </si>
  <si>
    <t>IMPUESTO DE RENTA Y COMPLEMENT 25%</t>
  </si>
  <si>
    <t>IMPUESTO PARA LA EQUIDAD CREE 9%</t>
  </si>
  <si>
    <t>UTILIDAD DESPUES DE IMPUESTO</t>
  </si>
  <si>
    <t>INGRESOS</t>
  </si>
  <si>
    <t>CODIGO CTA</t>
  </si>
  <si>
    <t>NOMBRE CUENTA</t>
  </si>
  <si>
    <t>CENTRO DE COSTO BUSETA</t>
  </si>
  <si>
    <t>UTILIDAD</t>
  </si>
  <si>
    <t>ANUALIDAD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</si>
</sst>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[$$-240A]\ * #,##0_);_([$$-240A]\ * \(#,##0\);_([$$-240A]\ * &quot;-&quot;??_);_(@_)"/>
    <numFmt numFmtId="165" formatCode="_-[$$-240A]* #,##0_-;\-[$$-240A]* #,##0_-;_-[$$-240A]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0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0" fillId="0" borderId="1" xfId="0" applyNumberFormat="1" applyBorder="1"/>
    <xf numFmtId="165" fontId="0" fillId="2" borderId="1" xfId="0" applyNumberFormat="1" applyFill="1" applyBorder="1"/>
    <xf numFmtId="165" fontId="0" fillId="3" borderId="1" xfId="0" applyNumberFormat="1" applyFill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9" fontId="0" fillId="0" borderId="0" xfId="1" applyFont="1"/>
    <xf numFmtId="165" fontId="0" fillId="0" borderId="0" xfId="0" applyNumberFormat="1" applyBorder="1"/>
    <xf numFmtId="0" fontId="0" fillId="2" borderId="1" xfId="0" applyFill="1" applyBorder="1"/>
    <xf numFmtId="0" fontId="0" fillId="0" borderId="0" xfId="0" applyAlignment="1">
      <alignment horizontal="center"/>
    </xf>
    <xf numFmtId="0" fontId="0" fillId="2" borderId="0" xfId="0" applyFill="1"/>
    <xf numFmtId="0" fontId="0" fillId="5" borderId="0" xfId="0" applyFill="1"/>
    <xf numFmtId="165" fontId="0" fillId="5" borderId="0" xfId="0" applyNumberFormat="1" applyFill="1" applyBorder="1"/>
    <xf numFmtId="0" fontId="0" fillId="6" borderId="0" xfId="0" applyFill="1"/>
    <xf numFmtId="165" fontId="0" fillId="6" borderId="0" xfId="0" applyNumberFormat="1" applyFill="1" applyBorder="1"/>
    <xf numFmtId="2" fontId="0" fillId="0" borderId="0" xfId="0" applyNumberFormat="1"/>
    <xf numFmtId="2" fontId="0" fillId="0" borderId="1" xfId="0" applyNumberFormat="1" applyBorder="1"/>
    <xf numFmtId="2" fontId="0" fillId="2" borderId="1" xfId="0" applyNumberFormat="1" applyFill="1" applyBorder="1"/>
    <xf numFmtId="2" fontId="0" fillId="5" borderId="0" xfId="0" applyNumberFormat="1" applyFill="1"/>
    <xf numFmtId="2" fontId="0" fillId="6" borderId="0" xfId="0" applyNumberFormat="1" applyFill="1"/>
    <xf numFmtId="2" fontId="0" fillId="2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0" fontId="0" fillId="2" borderId="1" xfId="0" applyNumberFormat="1" applyFill="1" applyBorder="1" applyAlignment="1">
      <alignment horizontal="left"/>
    </xf>
    <xf numFmtId="2" fontId="0" fillId="6" borderId="1" xfId="0" applyNumberFormat="1" applyFill="1" applyBorder="1"/>
    <xf numFmtId="0" fontId="0" fillId="6" borderId="1" xfId="0" applyFill="1" applyBorder="1"/>
    <xf numFmtId="165" fontId="0" fillId="6" borderId="1" xfId="0" applyNumberFormat="1" applyFill="1" applyBorder="1"/>
    <xf numFmtId="2" fontId="0" fillId="0" borderId="1" xfId="0" applyNumberFormat="1" applyFill="1" applyBorder="1"/>
    <xf numFmtId="0" fontId="0" fillId="0" borderId="1" xfId="0" applyFill="1" applyBorder="1"/>
    <xf numFmtId="165" fontId="0" fillId="0" borderId="1" xfId="0" applyNumberFormat="1" applyFill="1" applyBorder="1"/>
    <xf numFmtId="165" fontId="0" fillId="0" borderId="0" xfId="0" applyNumberFormat="1" applyFill="1"/>
    <xf numFmtId="0" fontId="0" fillId="0" borderId="0" xfId="0" applyFill="1"/>
    <xf numFmtId="2" fontId="0" fillId="0" borderId="0" xfId="0" applyNumberFormat="1" applyFill="1"/>
    <xf numFmtId="0" fontId="2" fillId="6" borderId="1" xfId="0" applyFont="1" applyFill="1" applyBorder="1" applyAlignment="1">
      <alignment horizontal="center"/>
    </xf>
    <xf numFmtId="165" fontId="0" fillId="0" borderId="3" xfId="0" applyNumberFormat="1" applyBorder="1"/>
    <xf numFmtId="0" fontId="2" fillId="5" borderId="0" xfId="0" applyFont="1" applyFill="1" applyAlignment="1">
      <alignment horizontal="center"/>
    </xf>
    <xf numFmtId="0" fontId="2" fillId="7" borderId="1" xfId="0" applyFont="1" applyFill="1" applyBorder="1" applyAlignment="1">
      <alignment horizontal="center"/>
    </xf>
    <xf numFmtId="165" fontId="0" fillId="7" borderId="1" xfId="0" applyNumberFormat="1" applyFill="1" applyBorder="1"/>
    <xf numFmtId="0" fontId="2" fillId="0" borderId="0" xfId="0" applyFont="1" applyAlignment="1">
      <alignment horizontal="center"/>
    </xf>
    <xf numFmtId="10" fontId="0" fillId="6" borderId="1" xfId="1" applyNumberFormat="1" applyFont="1" applyFill="1" applyBorder="1"/>
    <xf numFmtId="10" fontId="0" fillId="7" borderId="1" xfId="1" applyNumberFormat="1" applyFont="1" applyFill="1" applyBorder="1"/>
    <xf numFmtId="10" fontId="0" fillId="3" borderId="1" xfId="1" applyNumberFormat="1" applyFont="1" applyFill="1" applyBorder="1"/>
    <xf numFmtId="0" fontId="2" fillId="4" borderId="4" xfId="0" applyFont="1" applyFill="1" applyBorder="1" applyAlignment="1">
      <alignment horizontal="center"/>
    </xf>
    <xf numFmtId="165" fontId="0" fillId="6" borderId="4" xfId="0" applyNumberFormat="1" applyFill="1" applyBorder="1"/>
    <xf numFmtId="165" fontId="0" fillId="0" borderId="4" xfId="0" applyNumberFormat="1" applyBorder="1"/>
    <xf numFmtId="165" fontId="0" fillId="7" borderId="4" xfId="0" applyNumberFormat="1" applyFill="1" applyBorder="1"/>
    <xf numFmtId="165" fontId="0" fillId="3" borderId="4" xfId="0" applyNumberFormat="1" applyFill="1" applyBorder="1"/>
    <xf numFmtId="10" fontId="0" fillId="0" borderId="1" xfId="1" applyNumberFormat="1" applyFont="1" applyBorder="1"/>
    <xf numFmtId="10" fontId="0" fillId="5" borderId="1" xfId="1" applyNumberFormat="1" applyFont="1" applyFill="1" applyBorder="1"/>
    <xf numFmtId="2" fontId="0" fillId="0" borderId="4" xfId="0" applyNumberFormat="1" applyBorder="1"/>
    <xf numFmtId="0" fontId="4" fillId="0" borderId="1" xfId="0" applyFont="1" applyBorder="1"/>
    <xf numFmtId="2" fontId="4" fillId="0" borderId="1" xfId="0" applyNumberFormat="1" applyFont="1" applyBorder="1"/>
    <xf numFmtId="165" fontId="0" fillId="8" borderId="1" xfId="0" applyNumberFormat="1" applyFill="1" applyBorder="1"/>
    <xf numFmtId="10" fontId="0" fillId="0" borderId="0" xfId="1" applyNumberFormat="1" applyFont="1" applyBorder="1"/>
    <xf numFmtId="165" fontId="3" fillId="0" borderId="1" xfId="0" applyNumberFormat="1" applyFont="1" applyBorder="1"/>
    <xf numFmtId="0" fontId="2" fillId="0" borderId="0" xfId="0" applyFont="1"/>
    <xf numFmtId="165" fontId="2" fillId="0" borderId="0" xfId="0" applyNumberFormat="1" applyFont="1" applyAlignment="1">
      <alignment horizontal="center"/>
    </xf>
    <xf numFmtId="164" fontId="0" fillId="5" borderId="0" xfId="0" applyNumberFormat="1" applyFill="1"/>
    <xf numFmtId="164" fontId="0" fillId="6" borderId="0" xfId="0" applyNumberFormat="1" applyFill="1"/>
    <xf numFmtId="165" fontId="0" fillId="2" borderId="0" xfId="0" applyNumberFormat="1" applyFill="1"/>
    <xf numFmtId="164" fontId="0" fillId="2" borderId="0" xfId="0" applyNumberFormat="1" applyFill="1"/>
    <xf numFmtId="0" fontId="0" fillId="5" borderId="1" xfId="0" applyFill="1" applyBorder="1"/>
    <xf numFmtId="165" fontId="0" fillId="5" borderId="1" xfId="0" applyNumberFormat="1" applyFill="1" applyBorder="1"/>
    <xf numFmtId="164" fontId="0" fillId="5" borderId="1" xfId="0" applyNumberFormat="1" applyFill="1" applyBorder="1"/>
    <xf numFmtId="164" fontId="0" fillId="6" borderId="1" xfId="0" applyNumberFormat="1" applyFill="1" applyBorder="1"/>
    <xf numFmtId="164" fontId="0" fillId="2" borderId="1" xfId="0" applyNumberFormat="1" applyFill="1" applyBorder="1"/>
    <xf numFmtId="10" fontId="0" fillId="2" borderId="1" xfId="1" applyNumberFormat="1" applyFont="1" applyFill="1" applyBorder="1"/>
    <xf numFmtId="164" fontId="0" fillId="0" borderId="1" xfId="0" applyNumberFormat="1" applyBorder="1"/>
    <xf numFmtId="164" fontId="0" fillId="0" borderId="0" xfId="0" applyNumberFormat="1" applyBorder="1"/>
    <xf numFmtId="165" fontId="0" fillId="9" borderId="1" xfId="0" applyNumberFormat="1" applyFill="1" applyBorder="1"/>
    <xf numFmtId="164" fontId="2" fillId="0" borderId="0" xfId="0" applyNumberFormat="1" applyFont="1" applyAlignment="1">
      <alignment horizontal="center"/>
    </xf>
    <xf numFmtId="164" fontId="0" fillId="0" borderId="0" xfId="0" applyNumberFormat="1" applyFill="1"/>
    <xf numFmtId="164" fontId="0" fillId="0" borderId="1" xfId="0" applyNumberFormat="1" applyFill="1" applyBorder="1"/>
    <xf numFmtId="10" fontId="0" fillId="0" borderId="1" xfId="1" applyNumberFormat="1" applyFont="1" applyFill="1" applyBorder="1"/>
    <xf numFmtId="165" fontId="3" fillId="10" borderId="1" xfId="0" applyNumberFormat="1" applyFont="1" applyFill="1" applyBorder="1"/>
    <xf numFmtId="164" fontId="3" fillId="6" borderId="1" xfId="0" applyNumberFormat="1" applyFont="1" applyFill="1" applyBorder="1"/>
    <xf numFmtId="10" fontId="3" fillId="6" borderId="1" xfId="1" applyNumberFormat="1" applyFont="1" applyFill="1" applyBorder="1"/>
    <xf numFmtId="165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0" xfId="1" applyNumberFormat="1" applyFont="1"/>
    <xf numFmtId="165" fontId="0" fillId="6" borderId="5" xfId="0" applyNumberFormat="1" applyFill="1" applyBorder="1"/>
    <xf numFmtId="0" fontId="8" fillId="0" borderId="1" xfId="0" applyFont="1" applyBorder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165" fontId="0" fillId="11" borderId="0" xfId="0" applyNumberFormat="1" applyFill="1" applyAlignment="1">
      <alignment horizontal="center"/>
    </xf>
    <xf numFmtId="165" fontId="0" fillId="11" borderId="0" xfId="0" applyNumberFormat="1" applyFill="1"/>
    <xf numFmtId="165" fontId="0" fillId="11" borderId="1" xfId="0" applyNumberFormat="1" applyFill="1" applyBorder="1"/>
    <xf numFmtId="165" fontId="0" fillId="11" borderId="0" xfId="0" applyNumberFormat="1" applyFill="1" applyBorder="1"/>
    <xf numFmtId="165" fontId="0" fillId="11" borderId="2" xfId="0" applyNumberFormat="1" applyFill="1" applyBorder="1"/>
    <xf numFmtId="165" fontId="0" fillId="11" borderId="1" xfId="0" applyNumberFormat="1" applyFill="1" applyBorder="1" applyAlignment="1">
      <alignment horizontal="center"/>
    </xf>
    <xf numFmtId="10" fontId="0" fillId="11" borderId="0" xfId="1" applyNumberFormat="1" applyFont="1" applyFill="1" applyBorder="1"/>
    <xf numFmtId="0" fontId="0" fillId="0" borderId="0" xfId="0" applyAlignment="1">
      <alignment horizontal="center"/>
    </xf>
    <xf numFmtId="2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9"/>
  <sheetViews>
    <sheetView topLeftCell="A111" workbookViewId="0">
      <selection activeCell="F110" sqref="F110"/>
    </sheetView>
  </sheetViews>
  <sheetFormatPr baseColWidth="10" defaultRowHeight="15" x14ac:dyDescent="0.25"/>
  <cols>
    <col min="1" max="1" width="20" customWidth="1"/>
    <col min="2" max="2" width="40" customWidth="1"/>
    <col min="3" max="3" width="17" style="2" customWidth="1"/>
    <col min="4" max="4" width="18.28515625" bestFit="1" customWidth="1"/>
    <col min="5" max="27" width="17" customWidth="1"/>
    <col min="28" max="28" width="10" customWidth="1"/>
    <col min="29" max="29" width="4" customWidth="1"/>
    <col min="30" max="30" width="10" customWidth="1"/>
  </cols>
  <sheetData>
    <row r="1" spans="1:26" ht="17.25" x14ac:dyDescent="0.4">
      <c r="A1" s="44" t="s">
        <v>240</v>
      </c>
      <c r="B1" s="44" t="s">
        <v>241</v>
      </c>
      <c r="C1" s="62" t="s">
        <v>236</v>
      </c>
      <c r="D1" s="44" t="s">
        <v>237</v>
      </c>
      <c r="E1" s="76" t="s">
        <v>239</v>
      </c>
      <c r="F1" s="76" t="s">
        <v>238</v>
      </c>
      <c r="G1" s="1"/>
      <c r="H1" s="1"/>
      <c r="I1" s="97"/>
      <c r="J1" s="97"/>
      <c r="K1" s="97"/>
      <c r="L1" s="97"/>
      <c r="M1" s="97"/>
      <c r="N1" s="97"/>
      <c r="O1" s="97"/>
      <c r="P1" s="97"/>
      <c r="Q1" s="97"/>
      <c r="R1" s="97"/>
    </row>
    <row r="2" spans="1:26" x14ac:dyDescent="0.25">
      <c r="A2" s="67" t="s">
        <v>0</v>
      </c>
      <c r="B2" s="67" t="s">
        <v>1</v>
      </c>
      <c r="C2" s="68">
        <v>113661306.81</v>
      </c>
      <c r="D2" s="69">
        <f>+PRESUPUESTO!C2</f>
        <v>122047316.94999999</v>
      </c>
      <c r="E2" s="69">
        <f>+C2-D2</f>
        <v>-8386010.1399999857</v>
      </c>
      <c r="F2" s="54">
        <f>100%-(C2/D2)</f>
        <v>6.8711138839992247E-2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25">
      <c r="A3" s="31" t="s">
        <v>2</v>
      </c>
      <c r="B3" s="31" t="s">
        <v>3</v>
      </c>
      <c r="C3" s="32">
        <v>108622673.2</v>
      </c>
      <c r="D3" s="70">
        <f>+PRESUPUESTO!C3</f>
        <v>121415316.94999999</v>
      </c>
      <c r="E3" s="70">
        <f>+C3-D3</f>
        <v>-12792643.749999985</v>
      </c>
      <c r="F3" s="45">
        <f>100%-(C3/D3)</f>
        <v>0.10536268463778853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5">
      <c r="D4" s="1"/>
      <c r="E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25">
      <c r="A5" s="14" t="s">
        <v>4</v>
      </c>
      <c r="B5" s="14" t="s">
        <v>5</v>
      </c>
      <c r="C5" s="4">
        <v>110246015</v>
      </c>
      <c r="D5" s="71">
        <f>+PRESUPUESTO!C5</f>
        <v>121665316.94999999</v>
      </c>
      <c r="E5" s="71">
        <f>+C5-D5</f>
        <v>-11419301.949999988</v>
      </c>
      <c r="F5" s="72">
        <f t="shared" ref="F5:F8" si="0">100%-(C5/D5)</f>
        <v>9.3858317524400992E-2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5">
      <c r="A6" s="6" t="s">
        <v>6</v>
      </c>
      <c r="B6" s="6" t="s">
        <v>7</v>
      </c>
      <c r="C6" s="3">
        <v>67541015</v>
      </c>
      <c r="D6" s="73">
        <f>+PRESUPUESTO!C6</f>
        <v>54045316.949999996</v>
      </c>
      <c r="E6" s="73">
        <f t="shared" ref="E6:E8" si="1">+C6-D6</f>
        <v>13495698.050000004</v>
      </c>
      <c r="F6" s="53">
        <f t="shared" si="0"/>
        <v>-0.24971077628216243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25">
      <c r="A7" s="6" t="s">
        <v>8</v>
      </c>
      <c r="B7" s="6" t="s">
        <v>9</v>
      </c>
      <c r="C7" s="3">
        <v>14775000</v>
      </c>
      <c r="D7" s="73">
        <f>+PRESUPUESTO!C7</f>
        <v>39240000</v>
      </c>
      <c r="E7" s="73">
        <f t="shared" si="1"/>
        <v>-24465000</v>
      </c>
      <c r="F7" s="53">
        <f t="shared" si="0"/>
        <v>0.62347094801223246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25">
      <c r="A8" s="6" t="s">
        <v>10</v>
      </c>
      <c r="B8" s="6" t="s">
        <v>11</v>
      </c>
      <c r="C8" s="3">
        <v>27930000</v>
      </c>
      <c r="D8" s="73">
        <f>+PRESUPUESTO!C8</f>
        <v>28380000</v>
      </c>
      <c r="E8" s="73">
        <f t="shared" si="1"/>
        <v>-450000</v>
      </c>
      <c r="F8" s="53">
        <f t="shared" si="0"/>
        <v>1.5856236786469302E-2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25">
      <c r="D9" s="1"/>
      <c r="E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25">
      <c r="A10" s="14" t="s">
        <v>12</v>
      </c>
      <c r="B10" s="14" t="s">
        <v>13</v>
      </c>
      <c r="C10" s="4">
        <v>-1623341.8</v>
      </c>
      <c r="D10" s="71">
        <f>+PRESUPUESTO!C11</f>
        <v>-250000</v>
      </c>
      <c r="E10" s="71">
        <f t="shared" ref="E10:E11" si="2">+C10-D10</f>
        <v>-1373341.8</v>
      </c>
      <c r="F10" s="72">
        <f t="shared" ref="F10:F11" si="3">100%-(C10/D10)</f>
        <v>-5.4933671999999998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5">
      <c r="A11" s="6" t="s">
        <v>14</v>
      </c>
      <c r="B11" s="6" t="s">
        <v>13</v>
      </c>
      <c r="C11" s="3">
        <v>-1623341.8</v>
      </c>
      <c r="D11" s="73">
        <f>+PRESUPUESTO!C12</f>
        <v>-250000</v>
      </c>
      <c r="E11" s="73">
        <f t="shared" si="2"/>
        <v>-1373341.8</v>
      </c>
      <c r="F11" s="53">
        <f t="shared" si="3"/>
        <v>-5.4933671999999998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5"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5">
      <c r="A13" s="31" t="s">
        <v>15</v>
      </c>
      <c r="B13" s="31" t="s">
        <v>16</v>
      </c>
      <c r="C13" s="32">
        <v>5038633.6100000003</v>
      </c>
      <c r="D13" s="70">
        <f>+PRESUPUESTO!C14</f>
        <v>632000</v>
      </c>
      <c r="E13" s="70">
        <f t="shared" ref="E13:E17" si="4">+C13-D13</f>
        <v>4406633.6100000003</v>
      </c>
      <c r="F13" s="45">
        <f t="shared" ref="F13:F17" si="5">100%-(C13/D13)</f>
        <v>-6.9725215348101273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25">
      <c r="A14" s="14" t="s">
        <v>17</v>
      </c>
      <c r="B14" s="14" t="s">
        <v>18</v>
      </c>
      <c r="C14" s="4">
        <v>3610281.61</v>
      </c>
      <c r="D14" s="71">
        <f>+PRESUPUESTO!C16</f>
        <v>632000</v>
      </c>
      <c r="E14" s="71">
        <f t="shared" si="4"/>
        <v>2978281.61</v>
      </c>
      <c r="F14" s="72">
        <f t="shared" si="5"/>
        <v>-4.7124709018987341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25">
      <c r="A15" s="6" t="s">
        <v>19</v>
      </c>
      <c r="B15" s="6" t="s">
        <v>20</v>
      </c>
      <c r="C15" s="3">
        <v>1347286.81</v>
      </c>
      <c r="D15" s="73">
        <f>+PRESUPUESTO!C17</f>
        <v>0</v>
      </c>
      <c r="E15" s="73">
        <f t="shared" si="4"/>
        <v>1347286.81</v>
      </c>
      <c r="F15" s="53">
        <v>-1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25">
      <c r="A16" s="6" t="s">
        <v>21</v>
      </c>
      <c r="B16" s="6" t="s">
        <v>22</v>
      </c>
      <c r="C16" s="3">
        <v>100000</v>
      </c>
      <c r="D16" s="73">
        <f>+PRESUPUESTO!C18</f>
        <v>0</v>
      </c>
      <c r="E16" s="73">
        <f t="shared" si="4"/>
        <v>100000</v>
      </c>
      <c r="F16" s="53">
        <v>-1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25">
      <c r="A17" s="6" t="s">
        <v>23</v>
      </c>
      <c r="B17" s="6" t="s">
        <v>24</v>
      </c>
      <c r="C17" s="3">
        <v>2162994.7999999998</v>
      </c>
      <c r="D17" s="73">
        <f>+PRESUPUESTO!C19</f>
        <v>632000</v>
      </c>
      <c r="E17" s="73">
        <f t="shared" si="4"/>
        <v>1530994.7999999998</v>
      </c>
      <c r="F17" s="53">
        <f t="shared" si="5"/>
        <v>-2.4224601265822781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25">
      <c r="D18" s="1"/>
      <c r="E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5">
      <c r="A19" s="14" t="s">
        <v>25</v>
      </c>
      <c r="B19" s="14" t="s">
        <v>26</v>
      </c>
      <c r="C19" s="4">
        <v>200000</v>
      </c>
      <c r="D19" s="71">
        <f>+PRESUPUESTO!C21</f>
        <v>0</v>
      </c>
      <c r="E19" s="71">
        <f t="shared" ref="E19:E22" si="6">+C19-D19</f>
        <v>200000</v>
      </c>
      <c r="F19" s="72">
        <v>-1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25">
      <c r="A20" s="6" t="s">
        <v>27</v>
      </c>
      <c r="B20" s="6" t="s">
        <v>28</v>
      </c>
      <c r="C20" s="3">
        <v>200000</v>
      </c>
      <c r="D20" s="73">
        <f>+PRESUPUESTO!C22</f>
        <v>0</v>
      </c>
      <c r="E20" s="73">
        <f t="shared" si="6"/>
        <v>200000</v>
      </c>
      <c r="F20" s="53">
        <v>-1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25">
      <c r="A21" s="6" t="s">
        <v>29</v>
      </c>
      <c r="B21" s="6" t="s">
        <v>30</v>
      </c>
      <c r="C21" s="3">
        <v>1228352</v>
      </c>
      <c r="D21" s="73">
        <f>+PRESUPUESTO!C19</f>
        <v>632000</v>
      </c>
      <c r="E21" s="73">
        <f t="shared" si="6"/>
        <v>596352</v>
      </c>
      <c r="F21" s="53">
        <f t="shared" ref="F21" si="7">100%-(C21/D21)</f>
        <v>-0.94359493670886074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25">
      <c r="A22" s="6" t="s">
        <v>31</v>
      </c>
      <c r="B22" s="6" t="s">
        <v>32</v>
      </c>
      <c r="C22" s="3">
        <v>1228352</v>
      </c>
      <c r="D22" s="73">
        <f>+PRESUPUESTO!C25</f>
        <v>0</v>
      </c>
      <c r="E22" s="73">
        <f t="shared" si="6"/>
        <v>1228352</v>
      </c>
      <c r="F22" s="53">
        <v>-1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25"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25">
      <c r="A24" s="67" t="s">
        <v>33</v>
      </c>
      <c r="B24" s="67" t="s">
        <v>34</v>
      </c>
      <c r="C24" s="68">
        <v>95504642.980000004</v>
      </c>
      <c r="D24" s="69">
        <f>+D25+D96+D109</f>
        <v>72668091.743238464</v>
      </c>
      <c r="E24" s="69">
        <f t="shared" ref="E24:E25" si="8">+C24-D24</f>
        <v>22836551.23676154</v>
      </c>
      <c r="F24" s="54">
        <f t="shared" ref="F24:F25" si="9">100%-(C24/D24)</f>
        <v>-0.31425830359562745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25">
      <c r="A25" s="31" t="s">
        <v>35</v>
      </c>
      <c r="B25" s="31" t="s">
        <v>36</v>
      </c>
      <c r="C25" s="32">
        <v>78758690.609999999</v>
      </c>
      <c r="D25" s="70">
        <f>+PRESUPUESTO!C30</f>
        <v>59493435.536729999</v>
      </c>
      <c r="E25" s="70">
        <f t="shared" si="8"/>
        <v>19265255.073270001</v>
      </c>
      <c r="F25" s="45">
        <f t="shared" si="9"/>
        <v>-0.32382152584508317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5"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5">
      <c r="A27" s="14" t="s">
        <v>37</v>
      </c>
      <c r="B27" s="14" t="s">
        <v>38</v>
      </c>
      <c r="C27" s="4">
        <v>20795087</v>
      </c>
      <c r="D27" s="71">
        <f>+PRESUPUESTO!C32</f>
        <v>18872536.9472</v>
      </c>
      <c r="E27" s="71">
        <f t="shared" ref="E27:E41" si="10">+C27-D27</f>
        <v>1922550.0527999997</v>
      </c>
      <c r="F27" s="72">
        <f t="shared" ref="F27:F41" si="11">100%-(C27/D27)</f>
        <v>-0.10187024978034209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25">
      <c r="A28" s="6" t="s">
        <v>39</v>
      </c>
      <c r="B28" s="6" t="s">
        <v>40</v>
      </c>
      <c r="C28" s="3">
        <v>11088460</v>
      </c>
      <c r="D28" s="73">
        <f>+PRESUPUESTO!C33</f>
        <v>9809760</v>
      </c>
      <c r="E28" s="73">
        <f t="shared" si="10"/>
        <v>1278700</v>
      </c>
      <c r="F28" s="53">
        <f t="shared" si="11"/>
        <v>-0.13034977410252657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25">
      <c r="A29" s="6" t="s">
        <v>41</v>
      </c>
      <c r="B29" s="6" t="s">
        <v>42</v>
      </c>
      <c r="C29" s="3">
        <v>102000</v>
      </c>
      <c r="D29" s="73">
        <f>+PRESUPUESTO!C34</f>
        <v>0</v>
      </c>
      <c r="E29" s="73">
        <f t="shared" si="10"/>
        <v>102000</v>
      </c>
      <c r="F29" s="53">
        <v>-1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25">
      <c r="A30" s="6" t="s">
        <v>43</v>
      </c>
      <c r="B30" s="6" t="s">
        <v>44</v>
      </c>
      <c r="C30" s="3">
        <v>261467</v>
      </c>
      <c r="D30" s="73">
        <f>+PRESUPUESTO!C35</f>
        <v>932400</v>
      </c>
      <c r="E30" s="73">
        <f t="shared" si="10"/>
        <v>-670933</v>
      </c>
      <c r="F30" s="53">
        <f t="shared" si="11"/>
        <v>0.719576362076362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25">
      <c r="A31" s="6" t="s">
        <v>45</v>
      </c>
      <c r="B31" s="6" t="s">
        <v>46</v>
      </c>
      <c r="C31" s="3">
        <v>975514</v>
      </c>
      <c r="D31" s="73">
        <f>+PRESUPUESTO!C36</f>
        <v>895180.00000000012</v>
      </c>
      <c r="E31" s="73">
        <f t="shared" si="10"/>
        <v>80333.999999999884</v>
      </c>
      <c r="F31" s="53">
        <f t="shared" si="11"/>
        <v>-8.9740610826872569E-2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5">
      <c r="A32" s="6" t="s">
        <v>47</v>
      </c>
      <c r="B32" s="6" t="s">
        <v>48</v>
      </c>
      <c r="C32" s="3">
        <v>136809</v>
      </c>
      <c r="D32" s="73">
        <f>+PRESUPUESTO!C37</f>
        <v>98097.60000000002</v>
      </c>
      <c r="E32" s="73">
        <f t="shared" si="10"/>
        <v>38711.39999999998</v>
      </c>
      <c r="F32" s="53">
        <f t="shared" si="11"/>
        <v>-0.39462127513822942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25">
      <c r="A33" s="6" t="s">
        <v>49</v>
      </c>
      <c r="B33" s="6" t="s">
        <v>50</v>
      </c>
      <c r="C33" s="3">
        <v>975514</v>
      </c>
      <c r="D33" s="73">
        <f>+PRESUPUESTO!C38</f>
        <v>895180.00000000012</v>
      </c>
      <c r="E33" s="73">
        <f t="shared" si="10"/>
        <v>80333.999999999884</v>
      </c>
      <c r="F33" s="53">
        <f t="shared" si="11"/>
        <v>-8.9740610826872569E-2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25">
      <c r="A34" s="6" t="s">
        <v>51</v>
      </c>
      <c r="B34" s="6" t="s">
        <v>52</v>
      </c>
      <c r="C34" s="3">
        <v>629663</v>
      </c>
      <c r="D34" s="73">
        <f>+PRESUPUESTO!C39</f>
        <v>447590.00000000006</v>
      </c>
      <c r="E34" s="73">
        <f t="shared" si="10"/>
        <v>182072.99999999994</v>
      </c>
      <c r="F34" s="53">
        <f t="shared" si="11"/>
        <v>-0.40678522755200053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5">
      <c r="A35" s="6" t="s">
        <v>53</v>
      </c>
      <c r="B35" s="6" t="s">
        <v>54</v>
      </c>
      <c r="C35" s="3">
        <v>4508160</v>
      </c>
      <c r="D35" s="73">
        <f>+PRESUPUESTO!C40</f>
        <v>4024512</v>
      </c>
      <c r="E35" s="73">
        <f t="shared" si="10"/>
        <v>483648</v>
      </c>
      <c r="F35" s="53">
        <f t="shared" si="11"/>
        <v>-0.12017556414293207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6" t="s">
        <v>55</v>
      </c>
      <c r="B36" s="6" t="s">
        <v>56</v>
      </c>
      <c r="C36" s="3">
        <v>112000</v>
      </c>
      <c r="D36" s="73">
        <f>+PRESUPUESTO!C41</f>
        <v>100000</v>
      </c>
      <c r="E36" s="73">
        <f t="shared" si="10"/>
        <v>12000</v>
      </c>
      <c r="F36" s="53">
        <f t="shared" si="11"/>
        <v>-0.12000000000000011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6" t="s">
        <v>57</v>
      </c>
      <c r="B37" s="6" t="s">
        <v>58</v>
      </c>
      <c r="C37" s="3">
        <v>179880</v>
      </c>
      <c r="D37" s="73">
        <f>+PRESUPUESTO!C42</f>
        <v>0</v>
      </c>
      <c r="E37" s="73">
        <f t="shared" si="10"/>
        <v>179880</v>
      </c>
      <c r="F37" s="53">
        <v>-1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6" t="s">
        <v>59</v>
      </c>
      <c r="B38" s="6" t="s">
        <v>60</v>
      </c>
      <c r="C38" s="3">
        <v>146404</v>
      </c>
      <c r="D38" s="73">
        <f>+PRESUPUESTO!C43</f>
        <v>51206.947200000017</v>
      </c>
      <c r="E38" s="73">
        <f t="shared" si="10"/>
        <v>95197.052799999976</v>
      </c>
      <c r="F38" s="53">
        <f t="shared" si="11"/>
        <v>-1.859065185592629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6" t="s">
        <v>61</v>
      </c>
      <c r="B39" s="6" t="s">
        <v>62</v>
      </c>
      <c r="C39" s="3">
        <v>252</v>
      </c>
      <c r="D39" s="73">
        <f>+PRESUPUESTO!C44</f>
        <v>0</v>
      </c>
      <c r="E39" s="73">
        <f t="shared" si="10"/>
        <v>252</v>
      </c>
      <c r="F39" s="53">
        <v>-1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6" t="s">
        <v>63</v>
      </c>
      <c r="B40" s="6" t="s">
        <v>64</v>
      </c>
      <c r="C40" s="3">
        <v>1225284</v>
      </c>
      <c r="D40" s="73">
        <f>+PRESUPUESTO!C45</f>
        <v>1226220</v>
      </c>
      <c r="E40" s="73">
        <f t="shared" si="10"/>
        <v>-936</v>
      </c>
      <c r="F40" s="53">
        <f t="shared" si="11"/>
        <v>7.6332142682389303E-4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6" t="s">
        <v>65</v>
      </c>
      <c r="B41" s="6" t="s">
        <v>66</v>
      </c>
      <c r="C41" s="3">
        <v>453680</v>
      </c>
      <c r="D41" s="73">
        <f>+PRESUPUESTO!C46</f>
        <v>392390.40000000008</v>
      </c>
      <c r="E41" s="73">
        <f t="shared" si="10"/>
        <v>61289.599999999919</v>
      </c>
      <c r="F41" s="53">
        <f t="shared" si="11"/>
        <v>-0.15619546247818472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D42" s="1"/>
      <c r="E42" s="74"/>
      <c r="F42" s="59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4" t="s">
        <v>67</v>
      </c>
      <c r="B43" s="14" t="s">
        <v>68</v>
      </c>
      <c r="C43" s="4">
        <v>5700000</v>
      </c>
      <c r="D43" s="71">
        <f>+PRESUPUESTO!C48</f>
        <v>8700000</v>
      </c>
      <c r="E43" s="71">
        <f t="shared" ref="E43:E45" si="12">+C43-D43</f>
        <v>-3000000</v>
      </c>
      <c r="F43" s="72">
        <f t="shared" ref="F43:F45" si="13">100%-(C43/D43)</f>
        <v>0.34482758620689657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34" t="s">
        <v>69</v>
      </c>
      <c r="B44" s="34" t="s">
        <v>70</v>
      </c>
      <c r="C44" s="35">
        <v>4200000</v>
      </c>
      <c r="D44" s="78">
        <f>+PRESUPUESTO!C49</f>
        <v>4200000</v>
      </c>
      <c r="E44" s="78">
        <f t="shared" si="12"/>
        <v>0</v>
      </c>
      <c r="F44" s="79">
        <f t="shared" si="13"/>
        <v>0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34" t="s">
        <v>71</v>
      </c>
      <c r="B45" s="34" t="s">
        <v>24</v>
      </c>
      <c r="C45" s="35">
        <v>1500000</v>
      </c>
      <c r="D45" s="78">
        <f>+PRESUPUESTO!C50</f>
        <v>4500000</v>
      </c>
      <c r="E45" s="78">
        <f t="shared" si="12"/>
        <v>-3000000</v>
      </c>
      <c r="F45" s="79">
        <f t="shared" si="13"/>
        <v>0.66666666666666674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4" t="s">
        <v>72</v>
      </c>
      <c r="B47" s="14" t="s">
        <v>73</v>
      </c>
      <c r="C47" s="4">
        <v>3514280.45</v>
      </c>
      <c r="D47" s="71">
        <f>+PRESUPUESTO!C52</f>
        <v>6579730.5895299995</v>
      </c>
      <c r="E47" s="71">
        <f t="shared" ref="E47:E52" si="14">+C47-D47</f>
        <v>-3065450.1395299993</v>
      </c>
      <c r="F47" s="72">
        <f t="shared" ref="F47:F51" si="15">100%-(C47/D47)</f>
        <v>0.46589295683441789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6" t="s">
        <v>74</v>
      </c>
      <c r="B48" s="6" t="s">
        <v>75</v>
      </c>
      <c r="C48" s="3">
        <v>595035</v>
      </c>
      <c r="D48" s="73">
        <f>+PRESUPUESTO!C53</f>
        <v>5026594.1217299998</v>
      </c>
      <c r="E48" s="78">
        <f t="shared" si="14"/>
        <v>-4431559.1217299998</v>
      </c>
      <c r="F48" s="79">
        <f t="shared" si="15"/>
        <v>0.88162262844583772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6" t="s">
        <v>76</v>
      </c>
      <c r="B49" s="6" t="s">
        <v>77</v>
      </c>
      <c r="C49" s="3">
        <v>140</v>
      </c>
      <c r="D49" s="73">
        <f>+PRESUPUESTO!C54</f>
        <v>0</v>
      </c>
      <c r="E49" s="78">
        <f t="shared" si="14"/>
        <v>140</v>
      </c>
      <c r="F49" s="79">
        <v>-1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6" t="s">
        <v>78</v>
      </c>
      <c r="B50" s="6" t="s">
        <v>79</v>
      </c>
      <c r="C50" s="3">
        <v>1298222.03</v>
      </c>
      <c r="D50" s="73">
        <f>+PRESUPUESTO!C55</f>
        <v>1067475.2</v>
      </c>
      <c r="E50" s="78">
        <f t="shared" si="14"/>
        <v>230746.83000000007</v>
      </c>
      <c r="F50" s="79">
        <f t="shared" si="15"/>
        <v>-0.21616130285743407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6" t="s">
        <v>80</v>
      </c>
      <c r="B51" s="6" t="s">
        <v>81</v>
      </c>
      <c r="C51" s="3">
        <v>1620835.42</v>
      </c>
      <c r="D51" s="73">
        <f>+PRESUPUESTO!C56</f>
        <v>485661.26779999997</v>
      </c>
      <c r="E51" s="78">
        <f t="shared" si="14"/>
        <v>1135174.1521999999</v>
      </c>
      <c r="F51" s="79">
        <f t="shared" si="15"/>
        <v>-2.3373783899676259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6" t="s">
        <v>82</v>
      </c>
      <c r="B52" s="6" t="s">
        <v>24</v>
      </c>
      <c r="C52" s="3">
        <v>48</v>
      </c>
      <c r="D52" s="73">
        <f>+PRESUPUESTO!C57</f>
        <v>0</v>
      </c>
      <c r="E52" s="78">
        <f t="shared" si="14"/>
        <v>48</v>
      </c>
      <c r="F52" s="79">
        <v>-1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4" t="s">
        <v>83</v>
      </c>
      <c r="B54" s="14" t="s">
        <v>84</v>
      </c>
      <c r="C54" s="4">
        <v>2399974</v>
      </c>
      <c r="D54" s="71">
        <f>+PRESUPUESTO!C59</f>
        <v>2540000</v>
      </c>
      <c r="E54" s="71">
        <f t="shared" ref="E54:E55" si="16">+C54-D54</f>
        <v>-140026</v>
      </c>
      <c r="F54" s="72">
        <f t="shared" ref="F54:F55" si="17">100%-(C54/D54)</f>
        <v>5.5128346456692956E-2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6" t="s">
        <v>85</v>
      </c>
      <c r="B55" s="6" t="s">
        <v>86</v>
      </c>
      <c r="C55" s="3">
        <v>2399974</v>
      </c>
      <c r="D55" s="73">
        <f>+PRESUPUESTO!C60</f>
        <v>2540000</v>
      </c>
      <c r="E55" s="78">
        <f t="shared" si="16"/>
        <v>-140026</v>
      </c>
      <c r="F55" s="79">
        <f t="shared" si="17"/>
        <v>5.5128346456692956E-2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4" t="s">
        <v>87</v>
      </c>
      <c r="B57" s="14" t="s">
        <v>88</v>
      </c>
      <c r="C57" s="4">
        <v>367687</v>
      </c>
      <c r="D57" s="71">
        <f>+PRESUPUESTO!C62</f>
        <v>400000</v>
      </c>
      <c r="E57" s="71">
        <f t="shared" ref="E57:E58" si="18">+C57-D57</f>
        <v>-32313</v>
      </c>
      <c r="F57" s="72">
        <f t="shared" ref="F57:F58" si="19">100%-(C57/D57)</f>
        <v>8.0782499999999979E-2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6" t="s">
        <v>89</v>
      </c>
      <c r="B58" s="6" t="s">
        <v>90</v>
      </c>
      <c r="C58" s="3">
        <v>367687</v>
      </c>
      <c r="D58" s="73">
        <f>+PRESUPUESTO!C63</f>
        <v>400000</v>
      </c>
      <c r="E58" s="78">
        <f t="shared" si="18"/>
        <v>-32313</v>
      </c>
      <c r="F58" s="79">
        <f t="shared" si="19"/>
        <v>8.0782499999999979E-2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4" t="s">
        <v>91</v>
      </c>
      <c r="B60" s="14" t="s">
        <v>92</v>
      </c>
      <c r="C60" s="4">
        <v>1031000</v>
      </c>
      <c r="D60" s="71">
        <f>+PRESUPUESTO!C65</f>
        <v>0</v>
      </c>
      <c r="E60" s="71">
        <f t="shared" ref="E60:E61" si="20">+C60-D60</f>
        <v>1031000</v>
      </c>
      <c r="F60" s="72">
        <v>1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6" t="s">
        <v>93</v>
      </c>
      <c r="B61" s="6" t="s">
        <v>94</v>
      </c>
      <c r="C61" s="3">
        <v>1031000</v>
      </c>
      <c r="D61" s="73">
        <f>+PRESUPUESTO!C65</f>
        <v>0</v>
      </c>
      <c r="E61" s="78">
        <f t="shared" si="20"/>
        <v>1031000</v>
      </c>
      <c r="F61" s="79">
        <v>-1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4" t="s">
        <v>95</v>
      </c>
      <c r="B63" s="14" t="s">
        <v>96</v>
      </c>
      <c r="C63" s="4">
        <v>27235871.16</v>
      </c>
      <c r="D63" s="71">
        <f>+PRESUPUESTO!C66</f>
        <v>10016000</v>
      </c>
      <c r="E63" s="71">
        <f t="shared" ref="E63:E68" si="21">+C63-D63</f>
        <v>17219871.16</v>
      </c>
      <c r="F63" s="72">
        <f t="shared" ref="F63:F68" si="22">100%-(C63/D63)</f>
        <v>-1.7192363378594249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6" t="s">
        <v>97</v>
      </c>
      <c r="B64" s="6" t="s">
        <v>98</v>
      </c>
      <c r="C64" s="3">
        <v>400000</v>
      </c>
      <c r="D64" s="73">
        <f>+PRESUPUESTO!C67</f>
        <v>420000</v>
      </c>
      <c r="E64" s="78">
        <f t="shared" si="21"/>
        <v>-20000</v>
      </c>
      <c r="F64" s="79">
        <f t="shared" si="22"/>
        <v>4.7619047619047672E-2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6" t="s">
        <v>99</v>
      </c>
      <c r="B65" s="6" t="s">
        <v>100</v>
      </c>
      <c r="C65" s="3">
        <v>7425768</v>
      </c>
      <c r="D65" s="73">
        <f>+PRESUPUESTO!C68</f>
        <v>6000000</v>
      </c>
      <c r="E65" s="78">
        <f t="shared" si="21"/>
        <v>1425768</v>
      </c>
      <c r="F65" s="79">
        <f t="shared" si="22"/>
        <v>-0.23762799999999995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6" t="s">
        <v>101</v>
      </c>
      <c r="B66" s="6" t="s">
        <v>102</v>
      </c>
      <c r="C66" s="3">
        <v>1622075</v>
      </c>
      <c r="D66" s="73">
        <f>+PRESUPUESTO!C69</f>
        <v>1416000</v>
      </c>
      <c r="E66" s="78">
        <f t="shared" si="21"/>
        <v>206075</v>
      </c>
      <c r="F66" s="79">
        <f t="shared" si="22"/>
        <v>-0.1455331920903955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6" t="s">
        <v>103</v>
      </c>
      <c r="B67" s="6" t="s">
        <v>104</v>
      </c>
      <c r="C67" s="3">
        <v>157400</v>
      </c>
      <c r="D67" s="73">
        <f>+PRESUPUESTO!C70</f>
        <v>240000</v>
      </c>
      <c r="E67" s="78">
        <f t="shared" si="21"/>
        <v>-82600</v>
      </c>
      <c r="F67" s="79">
        <f t="shared" si="22"/>
        <v>0.34416666666666662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6" t="s">
        <v>105</v>
      </c>
      <c r="B68" s="6" t="s">
        <v>106</v>
      </c>
      <c r="C68" s="3">
        <v>203215</v>
      </c>
      <c r="D68" s="73">
        <f>+PRESUPUESTO!C71</f>
        <v>540000</v>
      </c>
      <c r="E68" s="78">
        <f t="shared" si="21"/>
        <v>-336785</v>
      </c>
      <c r="F68" s="79">
        <f t="shared" si="22"/>
        <v>0.62367592592592591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6" t="s">
        <v>107</v>
      </c>
      <c r="B69" s="6" t="s">
        <v>108</v>
      </c>
      <c r="C69" s="3">
        <v>15827413.16</v>
      </c>
      <c r="D69" s="73">
        <f>+PRESUPUESTO!C72</f>
        <v>0</v>
      </c>
      <c r="E69" s="78">
        <f t="shared" ref="E69:E70" si="23">+C69-D69</f>
        <v>15827413.16</v>
      </c>
      <c r="F69" s="79">
        <v>-1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6" t="s">
        <v>109</v>
      </c>
      <c r="B70" s="6" t="s">
        <v>110</v>
      </c>
      <c r="C70" s="3">
        <v>1600000</v>
      </c>
      <c r="D70" s="73">
        <f>+PRESUPUESTO!C73</f>
        <v>1400000</v>
      </c>
      <c r="E70" s="78">
        <f t="shared" si="23"/>
        <v>200000</v>
      </c>
      <c r="F70" s="79">
        <f t="shared" ref="F70" si="24">100%-(C70/D70)</f>
        <v>-0.14285714285714279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4" t="s">
        <v>111</v>
      </c>
      <c r="B72" s="14" t="s">
        <v>112</v>
      </c>
      <c r="C72" s="4">
        <v>2366424</v>
      </c>
      <c r="D72" s="71">
        <f>+PRESUPUESTO!C75</f>
        <v>2788000</v>
      </c>
      <c r="E72" s="71">
        <f t="shared" ref="E72:E74" si="25">+C72-D72</f>
        <v>-421576</v>
      </c>
      <c r="F72" s="72">
        <f t="shared" ref="F72:F73" si="26">100%-(C72/D72)</f>
        <v>0.15121090387374458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6" t="s">
        <v>113</v>
      </c>
      <c r="B73" s="6" t="s">
        <v>114</v>
      </c>
      <c r="C73" s="3">
        <v>1669000</v>
      </c>
      <c r="D73" s="73">
        <f>+PRESUPUESTO!C76</f>
        <v>1588000</v>
      </c>
      <c r="E73" s="78">
        <f t="shared" si="25"/>
        <v>81000</v>
      </c>
      <c r="F73" s="79">
        <f t="shared" si="26"/>
        <v>-5.1007556675062959E-2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6" t="s">
        <v>115</v>
      </c>
      <c r="B74" s="6" t="s">
        <v>116</v>
      </c>
      <c r="C74" s="3">
        <v>301600</v>
      </c>
      <c r="D74" s="73">
        <f>+PRESUPUESTO!C77</f>
        <v>0</v>
      </c>
      <c r="E74" s="78">
        <f t="shared" si="25"/>
        <v>301600</v>
      </c>
      <c r="F74" s="79">
        <v>1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6" t="s">
        <v>117</v>
      </c>
      <c r="B75" s="6" t="s">
        <v>24</v>
      </c>
      <c r="C75" s="3">
        <v>395824</v>
      </c>
      <c r="D75" s="73">
        <f>+PRESUPUESTO!C78</f>
        <v>1200000</v>
      </c>
      <c r="E75" s="78">
        <f t="shared" ref="E75" si="27">+C75-D75</f>
        <v>-804176</v>
      </c>
      <c r="F75" s="79">
        <f t="shared" ref="F75" si="28">100%-(C75/D75)</f>
        <v>0.67014666666666667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4" t="s">
        <v>118</v>
      </c>
      <c r="B77" s="14" t="s">
        <v>119</v>
      </c>
      <c r="C77" s="4">
        <v>253000</v>
      </c>
      <c r="D77" s="71">
        <f>+PRESUPUESTO!C80</f>
        <v>340000</v>
      </c>
      <c r="E77" s="71">
        <f t="shared" ref="E77:E80" si="29">+C77-D77</f>
        <v>-87000</v>
      </c>
      <c r="F77" s="72">
        <f t="shared" ref="F77:F80" si="30">100%-(C77/D77)</f>
        <v>0.25588235294117645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6" t="s">
        <v>120</v>
      </c>
      <c r="B78" s="6" t="s">
        <v>86</v>
      </c>
      <c r="C78" s="3">
        <v>3000</v>
      </c>
      <c r="D78" s="73">
        <f>+PRESUPUESTO!C81</f>
        <v>100000</v>
      </c>
      <c r="E78" s="78">
        <f t="shared" si="29"/>
        <v>-97000</v>
      </c>
      <c r="F78" s="79">
        <f t="shared" si="30"/>
        <v>0.97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6" t="s">
        <v>121</v>
      </c>
      <c r="B79" s="6" t="s">
        <v>122</v>
      </c>
      <c r="C79" s="3">
        <v>20000</v>
      </c>
      <c r="D79" s="73">
        <f>+PRESUPUESTO!C82</f>
        <v>0</v>
      </c>
      <c r="E79" s="78">
        <f t="shared" si="29"/>
        <v>20000</v>
      </c>
      <c r="F79" s="79">
        <v>-1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6" t="s">
        <v>123</v>
      </c>
      <c r="B80" s="6" t="s">
        <v>124</v>
      </c>
      <c r="C80" s="3">
        <v>230000</v>
      </c>
      <c r="D80" s="73">
        <f>+PRESUPUESTO!C83</f>
        <v>240000</v>
      </c>
      <c r="E80" s="78">
        <f t="shared" si="29"/>
        <v>-10000</v>
      </c>
      <c r="F80" s="79">
        <f t="shared" si="30"/>
        <v>4.166666666666663E-2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4" t="s">
        <v>125</v>
      </c>
      <c r="B82" s="14" t="s">
        <v>126</v>
      </c>
      <c r="C82" s="4">
        <v>12227832</v>
      </c>
      <c r="D82" s="71">
        <f>+PRESUPUESTO!C91</f>
        <v>3000000</v>
      </c>
      <c r="E82" s="71">
        <f t="shared" ref="E82:E86" si="31">+C82-D82</f>
        <v>9227832</v>
      </c>
      <c r="F82" s="72">
        <f t="shared" ref="F82:F86" si="32">100%-(C82/D82)</f>
        <v>-3.0759439999999998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6" t="s">
        <v>127</v>
      </c>
      <c r="B83" s="6" t="s">
        <v>86</v>
      </c>
      <c r="C83" s="3">
        <v>3182667</v>
      </c>
      <c r="D83" s="73">
        <f>+PRESUPUESTO!C86</f>
        <v>0</v>
      </c>
      <c r="E83" s="78">
        <f t="shared" si="31"/>
        <v>3182667</v>
      </c>
      <c r="F83" s="79">
        <v>-1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6" t="s">
        <v>128</v>
      </c>
      <c r="B84" s="6" t="s">
        <v>129</v>
      </c>
      <c r="C84" s="3">
        <v>117000</v>
      </c>
      <c r="D84" s="73">
        <f>+PRESUPUESTO!C87</f>
        <v>117000</v>
      </c>
      <c r="E84" s="78">
        <f t="shared" si="31"/>
        <v>0</v>
      </c>
      <c r="F84" s="79">
        <f t="shared" si="32"/>
        <v>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6" t="s">
        <v>130</v>
      </c>
      <c r="B85" s="6" t="s">
        <v>124</v>
      </c>
      <c r="C85" s="3">
        <v>922015</v>
      </c>
      <c r="D85" s="73">
        <f>+PRESUPUESTO!C88</f>
        <v>922020</v>
      </c>
      <c r="E85" s="78">
        <f t="shared" si="31"/>
        <v>-5</v>
      </c>
      <c r="F85" s="79">
        <f t="shared" si="32"/>
        <v>5.4228758594732085E-6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6" t="s">
        <v>131</v>
      </c>
      <c r="B86" s="6" t="s">
        <v>132</v>
      </c>
      <c r="C86" s="3">
        <v>8006150</v>
      </c>
      <c r="D86" s="73">
        <f>+PRESUPUESTO!C89</f>
        <v>8006148</v>
      </c>
      <c r="E86" s="78">
        <f t="shared" si="31"/>
        <v>2</v>
      </c>
      <c r="F86" s="79">
        <f t="shared" si="32"/>
        <v>-2.4980802248997236E-7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4" t="s">
        <v>133</v>
      </c>
      <c r="B88" s="14" t="s">
        <v>30</v>
      </c>
      <c r="C88" s="4">
        <v>2867535</v>
      </c>
      <c r="D88" s="71">
        <f>+PRESUPUESTO!C91</f>
        <v>3000000</v>
      </c>
      <c r="E88" s="71">
        <f t="shared" ref="E88:E93" si="33">+C88-D88</f>
        <v>-132465</v>
      </c>
      <c r="F88" s="72">
        <f t="shared" ref="F88:F93" si="34">100%-(C88/D88)</f>
        <v>4.4155000000000055E-2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6" t="s">
        <v>134</v>
      </c>
      <c r="B89" s="6" t="s">
        <v>135</v>
      </c>
      <c r="C89" s="3">
        <v>818900</v>
      </c>
      <c r="D89" s="73">
        <f>+PRESUPUESTO!C92</f>
        <v>720000</v>
      </c>
      <c r="E89" s="78">
        <f t="shared" si="33"/>
        <v>98900</v>
      </c>
      <c r="F89" s="79">
        <f t="shared" si="34"/>
        <v>-0.13736111111111104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6" t="s">
        <v>136</v>
      </c>
      <c r="B90" s="6" t="s">
        <v>137</v>
      </c>
      <c r="C90" s="3">
        <v>144198</v>
      </c>
      <c r="D90" s="73">
        <f>+PRESUPUESTO!C93</f>
        <v>240000</v>
      </c>
      <c r="E90" s="78">
        <f t="shared" si="33"/>
        <v>-95802</v>
      </c>
      <c r="F90" s="79">
        <f t="shared" si="34"/>
        <v>0.39917499999999995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6" t="s">
        <v>138</v>
      </c>
      <c r="B91" s="6" t="s">
        <v>139</v>
      </c>
      <c r="C91" s="3">
        <v>975987</v>
      </c>
      <c r="D91" s="73">
        <f>+PRESUPUESTO!C94</f>
        <v>960000</v>
      </c>
      <c r="E91" s="78">
        <f t="shared" si="33"/>
        <v>15987</v>
      </c>
      <c r="F91" s="79">
        <f t="shared" si="34"/>
        <v>-1.6653124999999935E-2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6" t="s">
        <v>140</v>
      </c>
      <c r="B92" s="6" t="s">
        <v>141</v>
      </c>
      <c r="C92" s="3">
        <v>762400</v>
      </c>
      <c r="D92" s="73">
        <f>+PRESUPUESTO!C95</f>
        <v>840000</v>
      </c>
      <c r="E92" s="78">
        <f t="shared" si="33"/>
        <v>-77600</v>
      </c>
      <c r="F92" s="79">
        <f t="shared" si="34"/>
        <v>9.2380952380952341E-2</v>
      </c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6" t="s">
        <v>142</v>
      </c>
      <c r="B93" s="6" t="s">
        <v>143</v>
      </c>
      <c r="C93" s="3">
        <v>158400</v>
      </c>
      <c r="D93" s="73">
        <f>+PRESUPUESTO!C96</f>
        <v>240000</v>
      </c>
      <c r="E93" s="78">
        <f t="shared" si="33"/>
        <v>-81600</v>
      </c>
      <c r="F93" s="79">
        <f t="shared" si="34"/>
        <v>0.33999999999999997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6" t="s">
        <v>144</v>
      </c>
      <c r="B94" s="6" t="s">
        <v>145</v>
      </c>
      <c r="C94" s="3">
        <v>7650</v>
      </c>
      <c r="D94" s="73">
        <f>+PRESUPUESTO!C97</f>
        <v>0</v>
      </c>
      <c r="E94" s="78">
        <f t="shared" ref="E94" si="35">+C94-D94</f>
        <v>7650</v>
      </c>
      <c r="F94" s="79">
        <v>-1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9" t="s">
        <v>146</v>
      </c>
      <c r="B96" s="19" t="s">
        <v>16</v>
      </c>
      <c r="C96" s="28">
        <v>13005952.369999999</v>
      </c>
      <c r="D96" s="64">
        <f>+PRESUPUESTO!C99</f>
        <v>2627000</v>
      </c>
      <c r="E96" s="70">
        <f t="shared" ref="E96" si="36">+C96-D96</f>
        <v>10378952.369999999</v>
      </c>
      <c r="F96" s="45">
        <v>-1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4" t="s">
        <v>147</v>
      </c>
      <c r="B98" s="14" t="s">
        <v>18</v>
      </c>
      <c r="C98" s="4">
        <v>2682245.37</v>
      </c>
      <c r="D98" s="71">
        <f>+PRESUPUESTO!C101</f>
        <v>2627000</v>
      </c>
      <c r="E98" s="71">
        <f t="shared" ref="E98:E100" si="37">+C98-D98</f>
        <v>55245.370000000112</v>
      </c>
      <c r="F98" s="72">
        <f t="shared" ref="F98:F100" si="38">100%-(C98/D98)</f>
        <v>-2.1029832508564938E-2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6" t="s">
        <v>148</v>
      </c>
      <c r="B99" s="6" t="s">
        <v>149</v>
      </c>
      <c r="C99" s="3">
        <v>1009546.15</v>
      </c>
      <c r="D99" s="73">
        <f>+PRESUPUESTO!C102</f>
        <v>960000</v>
      </c>
      <c r="E99" s="78">
        <f t="shared" si="37"/>
        <v>49546.150000000023</v>
      </c>
      <c r="F99" s="79">
        <f t="shared" si="38"/>
        <v>-5.1610572916666708E-2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6" t="s">
        <v>150</v>
      </c>
      <c r="B100" s="6" t="s">
        <v>151</v>
      </c>
      <c r="C100" s="3">
        <v>1671590.22</v>
      </c>
      <c r="D100" s="73">
        <f>+PRESUPUESTO!C103</f>
        <v>1667000</v>
      </c>
      <c r="E100" s="78">
        <f t="shared" si="37"/>
        <v>4590.2199999999721</v>
      </c>
      <c r="F100" s="79">
        <f t="shared" si="38"/>
        <v>-2.753581283743145E-3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6" t="s">
        <v>152</v>
      </c>
      <c r="B101" s="6" t="s">
        <v>24</v>
      </c>
      <c r="C101" s="3">
        <v>1109</v>
      </c>
      <c r="D101" s="73">
        <f>+PRESUPUESTO!C104</f>
        <v>0</v>
      </c>
      <c r="E101" s="78">
        <f t="shared" ref="E101" si="39">+C101-D101</f>
        <v>1109</v>
      </c>
      <c r="F101" s="79">
        <v>-1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4" t="s">
        <v>153</v>
      </c>
      <c r="B103" s="14" t="s">
        <v>154</v>
      </c>
      <c r="C103" s="4">
        <v>10314667</v>
      </c>
      <c r="D103" s="71">
        <f>+PRESUPUESTO!C106</f>
        <v>0</v>
      </c>
      <c r="E103" s="71">
        <f t="shared" ref="E103:E104" si="40">+C103-D103</f>
        <v>10314667</v>
      </c>
      <c r="F103" s="72">
        <v>-1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6" t="s">
        <v>155</v>
      </c>
      <c r="B104" s="6" t="s">
        <v>156</v>
      </c>
      <c r="C104" s="3">
        <v>10314667</v>
      </c>
      <c r="D104" s="78">
        <f>+PRESUPUESTO!C107</f>
        <v>0</v>
      </c>
      <c r="E104" s="78">
        <f t="shared" si="40"/>
        <v>10314667</v>
      </c>
      <c r="F104" s="79">
        <v>-1</v>
      </c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4" t="s">
        <v>157</v>
      </c>
      <c r="B106" s="14" t="s">
        <v>158</v>
      </c>
      <c r="C106" s="4">
        <v>9040</v>
      </c>
      <c r="D106" s="71">
        <f>+PRESUPUESTO!C109</f>
        <v>0</v>
      </c>
      <c r="E106" s="71">
        <f t="shared" ref="E106:E107" si="41">+C106-D106</f>
        <v>9040</v>
      </c>
      <c r="F106" s="72">
        <v>-1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6" t="s">
        <v>159</v>
      </c>
      <c r="B107" s="6" t="s">
        <v>160</v>
      </c>
      <c r="C107" s="3">
        <v>9040</v>
      </c>
      <c r="D107" s="73">
        <f>+PRESUPUESTO!C110</f>
        <v>0</v>
      </c>
      <c r="E107" s="78">
        <f t="shared" si="41"/>
        <v>9040</v>
      </c>
      <c r="F107" s="79">
        <v>-1</v>
      </c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9" t="s">
        <v>161</v>
      </c>
      <c r="B109" s="19" t="s">
        <v>162</v>
      </c>
      <c r="C109" s="28">
        <v>3740000</v>
      </c>
      <c r="D109" s="64">
        <f>+PRESUPUESTO!C159</f>
        <v>10547656.206508469</v>
      </c>
      <c r="E109" s="70">
        <f t="shared" ref="E109:E111" si="42">+C109-D109</f>
        <v>-6807656.2065084688</v>
      </c>
      <c r="F109" s="45">
        <v>-1</v>
      </c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6" t="s">
        <v>163</v>
      </c>
      <c r="B110" s="16" t="s">
        <v>162</v>
      </c>
      <c r="C110" s="65">
        <v>3740000</v>
      </c>
      <c r="D110" s="66">
        <f>+PRESUPUESTO!C161</f>
        <v>7755629.5636091679</v>
      </c>
      <c r="E110" s="66">
        <f t="shared" si="42"/>
        <v>-4015629.5636091679</v>
      </c>
      <c r="F110" s="72">
        <v>-1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t="s">
        <v>164</v>
      </c>
      <c r="B111" t="s">
        <v>162</v>
      </c>
      <c r="C111" s="2">
        <v>2632000</v>
      </c>
      <c r="D111" s="1">
        <f>+PRESUPUESTO!C162</f>
        <v>2792026.6428993</v>
      </c>
      <c r="E111" s="78">
        <f t="shared" si="42"/>
        <v>-160026.64289929997</v>
      </c>
      <c r="F111" s="79">
        <v>-1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t="s">
        <v>165</v>
      </c>
      <c r="B112" t="s">
        <v>166</v>
      </c>
      <c r="C112" s="2">
        <v>1108000</v>
      </c>
      <c r="D112" s="1">
        <f>+PRESUPUESTO!C117</f>
        <v>0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7" t="s">
        <v>167</v>
      </c>
      <c r="B114" s="17" t="s">
        <v>168</v>
      </c>
      <c r="C114" s="27">
        <v>13254530.109999999</v>
      </c>
      <c r="D114" s="63">
        <f>+PRESUPUESTO!C119</f>
        <v>28904363.158833332</v>
      </c>
      <c r="E114" s="69">
        <f t="shared" ref="E114" si="43">+C114-D114</f>
        <v>-15649833.048833333</v>
      </c>
      <c r="F114" s="54">
        <f t="shared" ref="F114" si="44">100%-(C114/D114)</f>
        <v>0.54143497169736665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9" t="s">
        <v>169</v>
      </c>
      <c r="B116" s="19" t="s">
        <v>170</v>
      </c>
      <c r="C116" s="28">
        <v>13254530.109999999</v>
      </c>
      <c r="D116" s="64">
        <f>+PRESUPUESTO!C121</f>
        <v>28904363.158833332</v>
      </c>
      <c r="E116" s="81">
        <f t="shared" ref="E116" si="45">+C116-D116</f>
        <v>-15649833.048833333</v>
      </c>
      <c r="F116" s="82">
        <f t="shared" ref="F116" si="46">100%-(C116/D116)</f>
        <v>0.54143497169736665</v>
      </c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t="s">
        <v>171</v>
      </c>
      <c r="B118" t="s">
        <v>172</v>
      </c>
      <c r="C118" s="2">
        <v>79700</v>
      </c>
      <c r="D118" s="1"/>
      <c r="E118" s="78">
        <f t="shared" ref="E118:E119" si="47">+C118-D118</f>
        <v>79700</v>
      </c>
      <c r="F118" s="79">
        <v>1</v>
      </c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t="s">
        <v>173</v>
      </c>
      <c r="B119" t="s">
        <v>174</v>
      </c>
      <c r="C119" s="2">
        <v>79700</v>
      </c>
      <c r="D119" s="1"/>
      <c r="E119" s="78">
        <f t="shared" si="47"/>
        <v>79700</v>
      </c>
      <c r="F119" s="79">
        <v>1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D120" s="1"/>
      <c r="E120" s="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4" t="s">
        <v>175</v>
      </c>
      <c r="B121" s="14" t="s">
        <v>176</v>
      </c>
      <c r="C121" s="4">
        <v>13174830.109999999</v>
      </c>
      <c r="D121" s="71">
        <f>+PRESUPUESTO!C126</f>
        <v>28904363.158833332</v>
      </c>
      <c r="E121" s="71">
        <f t="shared" ref="E121:E141" si="48">+C121-D121</f>
        <v>-15729533.048833333</v>
      </c>
      <c r="F121" s="72">
        <f t="shared" ref="F121:F141" si="49">100%-(C121/D121)</f>
        <v>0.54419234087246449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6" t="s">
        <v>177</v>
      </c>
      <c r="B122" s="6" t="s">
        <v>178</v>
      </c>
      <c r="C122" s="3">
        <v>13174830.109999999</v>
      </c>
      <c r="D122" s="6"/>
      <c r="E122" s="78">
        <f t="shared" si="48"/>
        <v>13174830.109999999</v>
      </c>
      <c r="F122" s="79">
        <v>-1</v>
      </c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6" t="s">
        <v>179</v>
      </c>
      <c r="B123" s="6" t="s">
        <v>180</v>
      </c>
      <c r="C123" s="3">
        <v>1878985.11</v>
      </c>
      <c r="D123" s="73">
        <f>+PRESUPUESTO!C127</f>
        <v>4800000</v>
      </c>
      <c r="E123" s="78">
        <f t="shared" si="48"/>
        <v>-2921014.8899999997</v>
      </c>
      <c r="F123" s="79">
        <f t="shared" si="49"/>
        <v>0.60854476874999996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6" t="s">
        <v>181</v>
      </c>
      <c r="B124" s="6" t="s">
        <v>182</v>
      </c>
      <c r="C124" s="3">
        <v>1996693</v>
      </c>
      <c r="D124" s="73">
        <f>+PRESUPUESTO!C128</f>
        <v>1440000</v>
      </c>
      <c r="E124" s="78">
        <f t="shared" si="48"/>
        <v>556693</v>
      </c>
      <c r="F124" s="79">
        <f t="shared" si="49"/>
        <v>-0.38659236111111106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6" t="s">
        <v>183</v>
      </c>
      <c r="B125" s="6" t="s">
        <v>184</v>
      </c>
      <c r="C125" s="3">
        <v>5771923</v>
      </c>
      <c r="D125" s="73">
        <f>+PRESUPUESTO!C129</f>
        <v>0</v>
      </c>
      <c r="E125" s="78">
        <f t="shared" si="48"/>
        <v>5771923</v>
      </c>
      <c r="F125" s="79">
        <v>-1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6" t="s">
        <v>185</v>
      </c>
      <c r="B126" s="6" t="s">
        <v>186</v>
      </c>
      <c r="C126" s="3">
        <v>1045150</v>
      </c>
      <c r="D126" s="73">
        <f>+PRESUPUESTO!C130</f>
        <v>3350000</v>
      </c>
      <c r="E126" s="78">
        <f t="shared" si="48"/>
        <v>-2304850</v>
      </c>
      <c r="F126" s="79">
        <f t="shared" si="49"/>
        <v>0.68801492537313425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6" t="s">
        <v>187</v>
      </c>
      <c r="B127" s="6" t="s">
        <v>188</v>
      </c>
      <c r="C127" s="3">
        <v>1031000</v>
      </c>
      <c r="D127" s="73">
        <f>+PRESUPUESTO!C131</f>
        <v>3216000</v>
      </c>
      <c r="E127" s="78">
        <f t="shared" si="48"/>
        <v>-2185000</v>
      </c>
      <c r="F127" s="79">
        <f t="shared" si="49"/>
        <v>0.67941542288557222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6" t="s">
        <v>189</v>
      </c>
      <c r="B128" s="6" t="s">
        <v>190</v>
      </c>
      <c r="C128" s="3">
        <v>645000</v>
      </c>
      <c r="D128" s="73">
        <f>+PRESUPUESTO!C132</f>
        <v>1935000</v>
      </c>
      <c r="E128" s="78">
        <f t="shared" si="48"/>
        <v>-1290000</v>
      </c>
      <c r="F128" s="79">
        <f t="shared" si="49"/>
        <v>0.66666666666666674</v>
      </c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6" t="s">
        <v>191</v>
      </c>
      <c r="B129" s="6" t="s">
        <v>192</v>
      </c>
      <c r="C129" s="3">
        <v>300000</v>
      </c>
      <c r="D129" s="73">
        <f>+PRESUPUESTO!C133</f>
        <v>1200000</v>
      </c>
      <c r="E129" s="78">
        <f t="shared" si="48"/>
        <v>-900000</v>
      </c>
      <c r="F129" s="79">
        <f t="shared" si="49"/>
        <v>0.75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6" t="s">
        <v>193</v>
      </c>
      <c r="B130" s="6" t="s">
        <v>194</v>
      </c>
      <c r="C130" s="3">
        <v>506079</v>
      </c>
      <c r="D130" s="73">
        <f>+PRESUPUESTO!C134</f>
        <v>1551720</v>
      </c>
      <c r="E130" s="78">
        <f t="shared" si="48"/>
        <v>-1045641</v>
      </c>
      <c r="F130" s="79">
        <f t="shared" si="49"/>
        <v>0.67385933029154743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22" t="s">
        <v>39</v>
      </c>
      <c r="B131" s="6" t="s">
        <v>40</v>
      </c>
      <c r="C131" s="3"/>
      <c r="D131" s="73">
        <f>+PRESUPUESTO!C135</f>
        <v>6549775</v>
      </c>
      <c r="E131" s="78">
        <f t="shared" si="48"/>
        <v>-6549775</v>
      </c>
      <c r="F131" s="79">
        <f t="shared" si="49"/>
        <v>1</v>
      </c>
    </row>
    <row r="132" spans="1:26" x14ac:dyDescent="0.25">
      <c r="A132" s="22" t="s">
        <v>43</v>
      </c>
      <c r="B132" s="6" t="s">
        <v>44</v>
      </c>
      <c r="C132" s="3"/>
      <c r="D132" s="73">
        <f>+PRESUPUESTO!C136</f>
        <v>738150</v>
      </c>
      <c r="E132" s="78">
        <f t="shared" si="48"/>
        <v>-738150</v>
      </c>
      <c r="F132" s="79">
        <f t="shared" si="49"/>
        <v>1</v>
      </c>
    </row>
    <row r="133" spans="1:26" x14ac:dyDescent="0.25">
      <c r="A133" s="22" t="s">
        <v>45</v>
      </c>
      <c r="B133" s="6" t="s">
        <v>46</v>
      </c>
      <c r="C133" s="3"/>
      <c r="D133" s="73">
        <f>+PRESUPUESTO!C137</f>
        <v>607327.08333333337</v>
      </c>
      <c r="E133" s="78">
        <f t="shared" si="48"/>
        <v>-607327.08333333337</v>
      </c>
      <c r="F133" s="79">
        <f t="shared" si="49"/>
        <v>1</v>
      </c>
    </row>
    <row r="134" spans="1:26" x14ac:dyDescent="0.25">
      <c r="A134" s="22" t="s">
        <v>47</v>
      </c>
      <c r="B134" s="6" t="s">
        <v>48</v>
      </c>
      <c r="C134" s="3"/>
      <c r="D134" s="73">
        <f>+PRESUPUESTO!C138</f>
        <v>65497.75</v>
      </c>
      <c r="E134" s="78">
        <f t="shared" si="48"/>
        <v>-65497.75</v>
      </c>
      <c r="F134" s="79">
        <f t="shared" si="49"/>
        <v>1</v>
      </c>
    </row>
    <row r="135" spans="1:26" x14ac:dyDescent="0.25">
      <c r="A135" s="22" t="s">
        <v>49</v>
      </c>
      <c r="B135" s="6" t="s">
        <v>50</v>
      </c>
      <c r="C135" s="3"/>
      <c r="D135" s="73">
        <f>+PRESUPUESTO!C139</f>
        <v>607327.08333333337</v>
      </c>
      <c r="E135" s="78">
        <f t="shared" si="48"/>
        <v>-607327.08333333337</v>
      </c>
      <c r="F135" s="79">
        <f t="shared" si="49"/>
        <v>1</v>
      </c>
    </row>
    <row r="136" spans="1:26" x14ac:dyDescent="0.25">
      <c r="A136" s="22" t="s">
        <v>51</v>
      </c>
      <c r="B136" s="6" t="s">
        <v>52</v>
      </c>
      <c r="C136" s="3"/>
      <c r="D136" s="73">
        <f>+PRESUPUESTO!C140</f>
        <v>303663.54166666669</v>
      </c>
      <c r="E136" s="78">
        <f t="shared" si="48"/>
        <v>-303663.54166666669</v>
      </c>
      <c r="F136" s="79">
        <f t="shared" si="49"/>
        <v>1</v>
      </c>
    </row>
    <row r="137" spans="1:26" x14ac:dyDescent="0.25">
      <c r="A137" s="22" t="s">
        <v>53</v>
      </c>
      <c r="B137" s="6" t="s">
        <v>54</v>
      </c>
      <c r="C137" s="3"/>
      <c r="D137" s="73">
        <f>+PRESUPUESTO!C141</f>
        <v>1425000</v>
      </c>
      <c r="E137" s="78">
        <f t="shared" si="48"/>
        <v>-1425000</v>
      </c>
      <c r="F137" s="79">
        <f t="shared" si="49"/>
        <v>1</v>
      </c>
    </row>
    <row r="138" spans="1:26" x14ac:dyDescent="0.25">
      <c r="A138" s="22" t="s">
        <v>55</v>
      </c>
      <c r="B138" s="6" t="s">
        <v>56</v>
      </c>
      <c r="C138" s="3"/>
      <c r="D138" s="73">
        <f>+PRESUPUESTO!C142</f>
        <v>0</v>
      </c>
      <c r="E138" s="78">
        <f t="shared" si="48"/>
        <v>0</v>
      </c>
      <c r="F138" s="79">
        <v>0</v>
      </c>
    </row>
    <row r="139" spans="1:26" x14ac:dyDescent="0.25">
      <c r="A139" s="22" t="s">
        <v>59</v>
      </c>
      <c r="B139" s="6" t="s">
        <v>60</v>
      </c>
      <c r="C139" s="3"/>
      <c r="D139" s="73">
        <f>+PRESUPUESTO!C143</f>
        <v>34189.825499999999</v>
      </c>
      <c r="E139" s="78">
        <f t="shared" si="48"/>
        <v>-34189.825499999999</v>
      </c>
      <c r="F139" s="79">
        <f t="shared" si="49"/>
        <v>1</v>
      </c>
    </row>
    <row r="140" spans="1:26" x14ac:dyDescent="0.25">
      <c r="A140" s="22" t="s">
        <v>63</v>
      </c>
      <c r="B140" s="6" t="s">
        <v>64</v>
      </c>
      <c r="C140" s="3"/>
      <c r="D140" s="73">
        <f>+PRESUPUESTO!C144</f>
        <v>818721.875</v>
      </c>
      <c r="E140" s="78">
        <f t="shared" si="48"/>
        <v>-818721.875</v>
      </c>
      <c r="F140" s="79">
        <f t="shared" si="49"/>
        <v>1</v>
      </c>
    </row>
    <row r="141" spans="1:26" x14ac:dyDescent="0.25">
      <c r="A141" s="22" t="s">
        <v>65</v>
      </c>
      <c r="B141" s="6" t="s">
        <v>66</v>
      </c>
      <c r="C141" s="3"/>
      <c r="D141" s="73">
        <f>+PRESUPUESTO!C145</f>
        <v>261991</v>
      </c>
      <c r="E141" s="78">
        <f t="shared" si="48"/>
        <v>-261991</v>
      </c>
      <c r="F141" s="79">
        <f t="shared" si="49"/>
        <v>1</v>
      </c>
    </row>
    <row r="142" spans="1:26" x14ac:dyDescent="0.25">
      <c r="D142" s="1">
        <f>+PRESUPUESTO!C146</f>
        <v>0</v>
      </c>
    </row>
    <row r="145" spans="1:6" x14ac:dyDescent="0.25">
      <c r="B145" s="6"/>
      <c r="C145" s="83" t="s">
        <v>244</v>
      </c>
      <c r="D145" s="7" t="s">
        <v>243</v>
      </c>
      <c r="E145" s="7" t="s">
        <v>245</v>
      </c>
      <c r="F145" s="7" t="s">
        <v>247</v>
      </c>
    </row>
    <row r="146" spans="1:6" x14ac:dyDescent="0.25">
      <c r="B146" s="6"/>
      <c r="C146" s="84">
        <v>2015</v>
      </c>
      <c r="D146" s="84">
        <v>2016</v>
      </c>
      <c r="E146" s="7" t="s">
        <v>246</v>
      </c>
      <c r="F146" s="7" t="s">
        <v>248</v>
      </c>
    </row>
    <row r="147" spans="1:6" x14ac:dyDescent="0.25">
      <c r="A147" s="15" t="str">
        <f>+A2</f>
        <v>4</v>
      </c>
      <c r="B147" s="85" t="str">
        <f t="shared" ref="B147:F147" si="50">+B2</f>
        <v>I N G R E S O S</v>
      </c>
      <c r="C147" s="3">
        <f t="shared" si="50"/>
        <v>113661306.81</v>
      </c>
      <c r="D147" s="3">
        <f t="shared" si="50"/>
        <v>122047316.94999999</v>
      </c>
      <c r="E147" s="3">
        <f t="shared" si="50"/>
        <v>-8386010.1399999857</v>
      </c>
      <c r="F147" s="53">
        <f t="shared" si="50"/>
        <v>6.8711138839992247E-2</v>
      </c>
    </row>
    <row r="148" spans="1:6" x14ac:dyDescent="0.25">
      <c r="A148" s="15" t="str">
        <f>+A24</f>
        <v>5</v>
      </c>
      <c r="B148" s="85" t="str">
        <f t="shared" ref="B148:F148" si="51">+B24</f>
        <v>G A S T O S</v>
      </c>
      <c r="C148" s="3">
        <f t="shared" si="51"/>
        <v>95504642.980000004</v>
      </c>
      <c r="D148" s="3">
        <f>+D24</f>
        <v>72668091.743238464</v>
      </c>
      <c r="E148" s="3">
        <f t="shared" si="51"/>
        <v>22836551.23676154</v>
      </c>
      <c r="F148" s="53">
        <f t="shared" si="51"/>
        <v>-0.31425830359562745</v>
      </c>
    </row>
    <row r="149" spans="1:6" x14ac:dyDescent="0.25">
      <c r="A149" s="15" t="str">
        <f>+A114</f>
        <v>6</v>
      </c>
      <c r="B149" s="85" t="str">
        <f t="shared" ref="B149:F149" si="52">+B114</f>
        <v>C O S T O  D E   V E N T A</v>
      </c>
      <c r="C149" s="3">
        <f t="shared" si="52"/>
        <v>13254530.109999999</v>
      </c>
      <c r="D149" s="3">
        <f t="shared" si="52"/>
        <v>28904363.158833332</v>
      </c>
      <c r="E149" s="3">
        <f t="shared" si="52"/>
        <v>-15649833.048833333</v>
      </c>
      <c r="F149" s="53">
        <f t="shared" si="52"/>
        <v>0.54143497169736665</v>
      </c>
    </row>
  </sheetData>
  <autoFilter ref="A1:F142"/>
  <mergeCells count="5">
    <mergeCell ref="O1:P1"/>
    <mergeCell ref="Q1:R1"/>
    <mergeCell ref="I1:J1"/>
    <mergeCell ref="K1:L1"/>
    <mergeCell ref="M1:N1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80"/>
  <sheetViews>
    <sheetView tabSelected="1" topLeftCell="B1" workbookViewId="0">
      <pane ySplit="1" topLeftCell="A2" activePane="bottomLeft" state="frozen"/>
      <selection pane="bottomLeft" activeCell="D3" sqref="D3"/>
    </sheetView>
  </sheetViews>
  <sheetFormatPr baseColWidth="10" defaultRowHeight="15" x14ac:dyDescent="0.25"/>
  <cols>
    <col min="1" max="1" width="11.42578125" style="21"/>
    <col min="2" max="2" width="47" customWidth="1"/>
    <col min="3" max="3" width="16.85546875" style="91" bestFit="1" customWidth="1"/>
    <col min="4" max="15" width="14.140625" style="2" bestFit="1" customWidth="1"/>
    <col min="16" max="16" width="13.5703125" style="2" bestFit="1" customWidth="1"/>
    <col min="17" max="17" width="11.42578125" style="2"/>
  </cols>
  <sheetData>
    <row r="1" spans="1:17 16384:16384" x14ac:dyDescent="0.25">
      <c r="C1" s="90" t="s">
        <v>207</v>
      </c>
      <c r="D1" s="2" t="s">
        <v>195</v>
      </c>
      <c r="E1" s="2" t="s">
        <v>196</v>
      </c>
      <c r="F1" s="2" t="s">
        <v>197</v>
      </c>
      <c r="G1" s="2" t="s">
        <v>198</v>
      </c>
      <c r="H1" s="2" t="s">
        <v>199</v>
      </c>
      <c r="I1" s="2" t="s">
        <v>200</v>
      </c>
      <c r="J1" s="2" t="s">
        <v>201</v>
      </c>
      <c r="K1" s="2" t="s">
        <v>202</v>
      </c>
      <c r="L1" s="2" t="s">
        <v>203</v>
      </c>
      <c r="M1" s="2" t="s">
        <v>204</v>
      </c>
      <c r="N1" s="2" t="s">
        <v>205</v>
      </c>
      <c r="O1" s="2" t="s">
        <v>206</v>
      </c>
    </row>
    <row r="2" spans="1:17 16384:16384" x14ac:dyDescent="0.25">
      <c r="A2" s="24" t="s">
        <v>0</v>
      </c>
      <c r="B2" s="17" t="s">
        <v>1</v>
      </c>
      <c r="C2" s="91">
        <f t="shared" ref="C2:O2" si="0">+C3+C14</f>
        <v>122047316.94999999</v>
      </c>
      <c r="D2" s="27">
        <f t="shared" si="0"/>
        <v>6099000</v>
      </c>
      <c r="E2" s="27">
        <f t="shared" si="0"/>
        <v>13650792.5</v>
      </c>
      <c r="F2" s="27">
        <f t="shared" si="0"/>
        <v>13959552.5</v>
      </c>
      <c r="G2" s="27">
        <f t="shared" si="0"/>
        <v>12518212.925000001</v>
      </c>
      <c r="H2" s="27">
        <f t="shared" si="0"/>
        <v>12518212.925000001</v>
      </c>
      <c r="I2" s="27">
        <f t="shared" si="0"/>
        <v>11619212.925000001</v>
      </c>
      <c r="J2" s="27">
        <f t="shared" si="0"/>
        <v>7080212.9249999998</v>
      </c>
      <c r="K2" s="27">
        <f t="shared" si="0"/>
        <v>7729212.9249999998</v>
      </c>
      <c r="L2" s="27">
        <f t="shared" si="0"/>
        <v>12470212.925000001</v>
      </c>
      <c r="M2" s="27">
        <f t="shared" si="0"/>
        <v>12470212.925000001</v>
      </c>
      <c r="N2" s="27">
        <f t="shared" si="0"/>
        <v>3621481.4749999996</v>
      </c>
      <c r="O2" s="27">
        <f t="shared" si="0"/>
        <v>8311000</v>
      </c>
    </row>
    <row r="3" spans="1:17 16384:16384" x14ac:dyDescent="0.25">
      <c r="A3" s="25" t="s">
        <v>2</v>
      </c>
      <c r="B3" s="19" t="s">
        <v>3</v>
      </c>
      <c r="C3" s="91">
        <f t="shared" ref="C3:O3" si="1">+C5+C11</f>
        <v>121415316.94999999</v>
      </c>
      <c r="D3" s="28">
        <f t="shared" si="1"/>
        <v>6083000</v>
      </c>
      <c r="E3" s="28">
        <f t="shared" si="1"/>
        <v>13594792.5</v>
      </c>
      <c r="F3" s="28">
        <f t="shared" si="1"/>
        <v>13903552.5</v>
      </c>
      <c r="G3" s="28">
        <f t="shared" si="1"/>
        <v>12462212.925000001</v>
      </c>
      <c r="H3" s="28">
        <f t="shared" si="1"/>
        <v>12462212.925000001</v>
      </c>
      <c r="I3" s="28">
        <f t="shared" si="1"/>
        <v>11563212.925000001</v>
      </c>
      <c r="J3" s="28">
        <f t="shared" si="1"/>
        <v>7024212.9249999998</v>
      </c>
      <c r="K3" s="28">
        <f t="shared" si="1"/>
        <v>7673212.9249999998</v>
      </c>
      <c r="L3" s="28">
        <f t="shared" si="1"/>
        <v>12414212.925000001</v>
      </c>
      <c r="M3" s="28">
        <f t="shared" si="1"/>
        <v>12414212.925000001</v>
      </c>
      <c r="N3" s="28">
        <f t="shared" si="1"/>
        <v>3565481.4749999996</v>
      </c>
      <c r="O3" s="28">
        <f t="shared" si="1"/>
        <v>8255000</v>
      </c>
      <c r="P3" s="2">
        <f>SUM(D3:O3)-C3</f>
        <v>0</v>
      </c>
    </row>
    <row r="5" spans="1:17 16384:16384" x14ac:dyDescent="0.25">
      <c r="A5" s="29">
        <v>4145</v>
      </c>
      <c r="B5" s="14" t="s">
        <v>229</v>
      </c>
      <c r="C5" s="92">
        <f>SUM(C6:C8)</f>
        <v>121665316.94999999</v>
      </c>
      <c r="D5" s="4">
        <f t="shared" ref="D5:O5" si="2">SUM(D6:D8)</f>
        <v>6083000</v>
      </c>
      <c r="E5" s="4">
        <f t="shared" si="2"/>
        <v>13594792.5</v>
      </c>
      <c r="F5" s="4">
        <f t="shared" si="2"/>
        <v>13903552.5</v>
      </c>
      <c r="G5" s="4">
        <f t="shared" si="2"/>
        <v>12462212.925000001</v>
      </c>
      <c r="H5" s="4">
        <f t="shared" si="2"/>
        <v>12462212.925000001</v>
      </c>
      <c r="I5" s="4">
        <f t="shared" si="2"/>
        <v>11813212.925000001</v>
      </c>
      <c r="J5" s="4">
        <f t="shared" si="2"/>
        <v>7024212.9249999998</v>
      </c>
      <c r="K5" s="4">
        <f t="shared" si="2"/>
        <v>7673212.9249999998</v>
      </c>
      <c r="L5" s="4">
        <f t="shared" si="2"/>
        <v>12414212.925000001</v>
      </c>
      <c r="M5" s="4">
        <f t="shared" si="2"/>
        <v>12414212.925000001</v>
      </c>
      <c r="N5" s="4">
        <f t="shared" si="2"/>
        <v>3565481.4749999996</v>
      </c>
      <c r="O5" s="4">
        <f t="shared" si="2"/>
        <v>8255000</v>
      </c>
      <c r="P5" s="2">
        <f t="shared" ref="P5:P8" si="3">SUM(D5:O5)-C5</f>
        <v>0</v>
      </c>
    </row>
    <row r="6" spans="1:17 16384:16384" x14ac:dyDescent="0.25">
      <c r="A6" s="22" t="s">
        <v>6</v>
      </c>
      <c r="B6" s="6" t="s">
        <v>7</v>
      </c>
      <c r="C6" s="92">
        <f>SUM(D6:O6)</f>
        <v>54045316.949999996</v>
      </c>
      <c r="D6" s="3">
        <f>500000+ESPANTAPAJAROS!B11</f>
        <v>1738000</v>
      </c>
      <c r="E6" s="3">
        <f>500000+GSA!B20+ESPANTAPAJAROS!C11</f>
        <v>7089792.5</v>
      </c>
      <c r="F6" s="3">
        <f>500000+GSA!C20+ESPANTAPAJAROS!D11</f>
        <v>7398552.5</v>
      </c>
      <c r="G6" s="3">
        <f>500000+GSA!D20+ESPANTAPAJAROS!E11</f>
        <v>5957212.9249999998</v>
      </c>
      <c r="H6" s="3">
        <f>500000+GSA!E20+ESPANTAPAJAROS!F11</f>
        <v>5957212.9249999998</v>
      </c>
      <c r="I6" s="3">
        <f>500000+GSA!F20+ESPANTAPAJAROS!G11</f>
        <v>5308212.9249999998</v>
      </c>
      <c r="J6" s="3">
        <f>500000+GSA!G20+ESPANTAPAJAROS!H11</f>
        <v>4659212.9249999998</v>
      </c>
      <c r="K6" s="3">
        <f>500000+GSA!H20+ESPANTAPAJAROS!I11</f>
        <v>5308212.9249999998</v>
      </c>
      <c r="L6" s="3">
        <f>500000+GSA!I20+ESPANTAPAJAROS!J11</f>
        <v>5909212.9249999998</v>
      </c>
      <c r="M6" s="3">
        <f>500000+GSA!J20+ESPANTAPAJAROS!K11</f>
        <v>5909212.9249999998</v>
      </c>
      <c r="N6" s="3">
        <f>500000+GSA!K20+ESPANTAPAJAROS!L11</f>
        <v>-2939518.5250000004</v>
      </c>
      <c r="O6" s="3">
        <f>500000+ESPANTAPAJAROS!M11</f>
        <v>1750000</v>
      </c>
      <c r="P6" s="2">
        <f t="shared" si="3"/>
        <v>0</v>
      </c>
    </row>
    <row r="7" spans="1:17 16384:16384" x14ac:dyDescent="0.25">
      <c r="A7" s="22" t="s">
        <v>8</v>
      </c>
      <c r="B7" s="6" t="s">
        <v>9</v>
      </c>
      <c r="C7" s="92">
        <f t="shared" ref="C7:C8" si="4">SUM(D7:O7)</f>
        <v>39240000</v>
      </c>
      <c r="D7" s="3">
        <v>1980000</v>
      </c>
      <c r="E7" s="3">
        <f>23*180000</f>
        <v>4140000</v>
      </c>
      <c r="F7" s="3">
        <f t="shared" ref="F7:I7" si="5">23*180000</f>
        <v>4140000</v>
      </c>
      <c r="G7" s="3">
        <f t="shared" si="5"/>
        <v>4140000</v>
      </c>
      <c r="H7" s="3">
        <f t="shared" si="5"/>
        <v>4140000</v>
      </c>
      <c r="I7" s="3">
        <f t="shared" si="5"/>
        <v>4140000</v>
      </c>
      <c r="J7" s="3">
        <v>0</v>
      </c>
      <c r="K7" s="3">
        <v>0</v>
      </c>
      <c r="L7" s="3">
        <v>4140000</v>
      </c>
      <c r="M7" s="3">
        <v>4140000</v>
      </c>
      <c r="N7" s="3">
        <v>4140000</v>
      </c>
      <c r="O7" s="3">
        <v>4140000</v>
      </c>
      <c r="P7" s="2">
        <f t="shared" si="3"/>
        <v>0</v>
      </c>
      <c r="XFD7" s="2"/>
    </row>
    <row r="8" spans="1:17 16384:16384" x14ac:dyDescent="0.25">
      <c r="A8" s="22" t="s">
        <v>10</v>
      </c>
      <c r="B8" s="6" t="s">
        <v>11</v>
      </c>
      <c r="C8" s="92">
        <f t="shared" si="4"/>
        <v>28380000</v>
      </c>
      <c r="D8" s="3">
        <v>2365000</v>
      </c>
      <c r="E8" s="3">
        <v>2365000</v>
      </c>
      <c r="F8" s="3">
        <v>2365000</v>
      </c>
      <c r="G8" s="3">
        <v>2365000</v>
      </c>
      <c r="H8" s="3">
        <v>2365000</v>
      </c>
      <c r="I8" s="3">
        <v>2365000</v>
      </c>
      <c r="J8" s="3">
        <v>2365000</v>
      </c>
      <c r="K8" s="3">
        <v>2365000</v>
      </c>
      <c r="L8" s="3">
        <v>2365000</v>
      </c>
      <c r="M8" s="3">
        <v>2365000</v>
      </c>
      <c r="N8" s="3">
        <v>2365000</v>
      </c>
      <c r="O8" s="3">
        <v>2365000</v>
      </c>
      <c r="P8" s="2">
        <f t="shared" si="3"/>
        <v>0</v>
      </c>
    </row>
    <row r="9" spans="1:17 16384:16384" x14ac:dyDescent="0.25">
      <c r="C9" s="93"/>
    </row>
    <row r="10" spans="1:17 16384:16384" x14ac:dyDescent="0.25">
      <c r="C10" s="93"/>
    </row>
    <row r="11" spans="1:17 16384:16384" x14ac:dyDescent="0.25">
      <c r="A11" s="23" t="s">
        <v>12</v>
      </c>
      <c r="B11" s="14" t="s">
        <v>13</v>
      </c>
      <c r="C11" s="92">
        <f>+C12</f>
        <v>-250000</v>
      </c>
      <c r="D11" s="4">
        <f t="shared" ref="D11:O11" si="6">+D12</f>
        <v>0</v>
      </c>
      <c r="E11" s="4">
        <f t="shared" si="6"/>
        <v>0</v>
      </c>
      <c r="F11" s="4">
        <f t="shared" si="6"/>
        <v>0</v>
      </c>
      <c r="G11" s="4">
        <f t="shared" si="6"/>
        <v>0</v>
      </c>
      <c r="H11" s="4">
        <f t="shared" si="6"/>
        <v>0</v>
      </c>
      <c r="I11" s="4">
        <f t="shared" si="6"/>
        <v>-250000</v>
      </c>
      <c r="J11" s="4">
        <f t="shared" si="6"/>
        <v>0</v>
      </c>
      <c r="K11" s="4">
        <f t="shared" si="6"/>
        <v>0</v>
      </c>
      <c r="L11" s="4">
        <f t="shared" si="6"/>
        <v>0</v>
      </c>
      <c r="M11" s="4">
        <f t="shared" si="6"/>
        <v>0</v>
      </c>
      <c r="N11" s="4">
        <f t="shared" si="6"/>
        <v>0</v>
      </c>
      <c r="O11" s="4">
        <f t="shared" si="6"/>
        <v>0</v>
      </c>
      <c r="P11" s="2">
        <f t="shared" ref="P11:P25" si="7">SUM(D11:O11)-C11</f>
        <v>0</v>
      </c>
    </row>
    <row r="12" spans="1:17 16384:16384" x14ac:dyDescent="0.25">
      <c r="A12" s="22" t="s">
        <v>14</v>
      </c>
      <c r="B12" s="6" t="s">
        <v>13</v>
      </c>
      <c r="C12" s="92">
        <f t="shared" ref="C12" si="8">SUM(D12:O12)</f>
        <v>-250000</v>
      </c>
      <c r="D12" s="3"/>
      <c r="E12" s="3"/>
      <c r="F12" s="3"/>
      <c r="G12" s="3"/>
      <c r="H12" s="3"/>
      <c r="I12" s="3">
        <v>-250000</v>
      </c>
      <c r="J12" s="3"/>
      <c r="K12" s="3"/>
      <c r="L12" s="3"/>
      <c r="M12" s="3"/>
      <c r="N12" s="3"/>
      <c r="O12" s="3"/>
      <c r="P12" s="2">
        <f t="shared" si="7"/>
        <v>0</v>
      </c>
    </row>
    <row r="13" spans="1:17 16384:16384" x14ac:dyDescent="0.25">
      <c r="C13" s="92"/>
    </row>
    <row r="14" spans="1:17 16384:16384" x14ac:dyDescent="0.25">
      <c r="A14" s="30" t="s">
        <v>15</v>
      </c>
      <c r="B14" s="31" t="s">
        <v>16</v>
      </c>
      <c r="C14" s="92">
        <f>SUM(D14:O14)</f>
        <v>632000</v>
      </c>
      <c r="D14" s="32">
        <f>+D16+D21+D24</f>
        <v>16000</v>
      </c>
      <c r="E14" s="32">
        <f t="shared" ref="E14:O14" si="9">+E16+E21+E24</f>
        <v>56000</v>
      </c>
      <c r="F14" s="32">
        <f t="shared" si="9"/>
        <v>56000</v>
      </c>
      <c r="G14" s="32">
        <f t="shared" si="9"/>
        <v>56000</v>
      </c>
      <c r="H14" s="32">
        <f t="shared" si="9"/>
        <v>56000</v>
      </c>
      <c r="I14" s="32">
        <f t="shared" si="9"/>
        <v>56000</v>
      </c>
      <c r="J14" s="32">
        <f t="shared" si="9"/>
        <v>56000</v>
      </c>
      <c r="K14" s="32">
        <f t="shared" si="9"/>
        <v>56000</v>
      </c>
      <c r="L14" s="32">
        <f t="shared" si="9"/>
        <v>56000</v>
      </c>
      <c r="M14" s="32">
        <f t="shared" si="9"/>
        <v>56000</v>
      </c>
      <c r="N14" s="32">
        <f t="shared" si="9"/>
        <v>56000</v>
      </c>
      <c r="O14" s="32">
        <f t="shared" si="9"/>
        <v>56000</v>
      </c>
      <c r="P14" s="2">
        <f t="shared" si="7"/>
        <v>0</v>
      </c>
    </row>
    <row r="15" spans="1:17 16384:16384" s="37" customFormat="1" x14ac:dyDescent="0.25">
      <c r="A15" s="33"/>
      <c r="B15" s="34"/>
      <c r="C15" s="92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6"/>
      <c r="Q15" s="36"/>
    </row>
    <row r="16" spans="1:17 16384:16384" x14ac:dyDescent="0.25">
      <c r="A16" s="23" t="s">
        <v>17</v>
      </c>
      <c r="B16" s="14" t="s">
        <v>18</v>
      </c>
      <c r="C16" s="92">
        <f t="shared" ref="C16:C25" si="10">SUM(D16:O16)</f>
        <v>632000</v>
      </c>
      <c r="D16" s="4">
        <f>SUM(D17:D19)</f>
        <v>16000</v>
      </c>
      <c r="E16" s="4">
        <f t="shared" ref="E16:O16" si="11">SUM(E17:E19)</f>
        <v>56000</v>
      </c>
      <c r="F16" s="4">
        <f t="shared" si="11"/>
        <v>56000</v>
      </c>
      <c r="G16" s="4">
        <f t="shared" si="11"/>
        <v>56000</v>
      </c>
      <c r="H16" s="4">
        <f t="shared" si="11"/>
        <v>56000</v>
      </c>
      <c r="I16" s="4">
        <f t="shared" si="11"/>
        <v>56000</v>
      </c>
      <c r="J16" s="4">
        <f t="shared" si="11"/>
        <v>56000</v>
      </c>
      <c r="K16" s="4">
        <f t="shared" si="11"/>
        <v>56000</v>
      </c>
      <c r="L16" s="4">
        <f t="shared" si="11"/>
        <v>56000</v>
      </c>
      <c r="M16" s="4">
        <f t="shared" si="11"/>
        <v>56000</v>
      </c>
      <c r="N16" s="4">
        <f t="shared" si="11"/>
        <v>56000</v>
      </c>
      <c r="O16" s="4">
        <f t="shared" si="11"/>
        <v>56000</v>
      </c>
      <c r="P16" s="2">
        <f t="shared" si="7"/>
        <v>0</v>
      </c>
    </row>
    <row r="17" spans="1:19" x14ac:dyDescent="0.25">
      <c r="A17" s="22" t="s">
        <v>19</v>
      </c>
      <c r="B17" s="6" t="s">
        <v>20</v>
      </c>
      <c r="C17" s="92">
        <f t="shared" si="10"/>
        <v>0</v>
      </c>
      <c r="D17" s="3"/>
      <c r="E17" s="3">
        <f>+D17</f>
        <v>0</v>
      </c>
      <c r="F17" s="3">
        <f t="shared" ref="F17:O17" si="12">+E17</f>
        <v>0</v>
      </c>
      <c r="G17" s="3">
        <f t="shared" si="12"/>
        <v>0</v>
      </c>
      <c r="H17" s="3">
        <f t="shared" si="12"/>
        <v>0</v>
      </c>
      <c r="I17" s="3">
        <f t="shared" si="12"/>
        <v>0</v>
      </c>
      <c r="J17" s="3">
        <f t="shared" si="12"/>
        <v>0</v>
      </c>
      <c r="K17" s="3">
        <f t="shared" si="12"/>
        <v>0</v>
      </c>
      <c r="L17" s="3">
        <f t="shared" si="12"/>
        <v>0</v>
      </c>
      <c r="M17" s="3">
        <f t="shared" si="12"/>
        <v>0</v>
      </c>
      <c r="N17" s="3">
        <f t="shared" si="12"/>
        <v>0</v>
      </c>
      <c r="O17" s="3">
        <f t="shared" si="12"/>
        <v>0</v>
      </c>
      <c r="P17" s="2">
        <f t="shared" si="7"/>
        <v>0</v>
      </c>
    </row>
    <row r="18" spans="1:19" x14ac:dyDescent="0.25">
      <c r="A18" s="22" t="s">
        <v>21</v>
      </c>
      <c r="B18" s="6" t="s">
        <v>22</v>
      </c>
      <c r="C18" s="92">
        <f t="shared" si="10"/>
        <v>0</v>
      </c>
      <c r="D18" s="3">
        <v>0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2">
        <f t="shared" si="7"/>
        <v>0</v>
      </c>
    </row>
    <row r="19" spans="1:19" x14ac:dyDescent="0.25">
      <c r="A19" s="22" t="s">
        <v>23</v>
      </c>
      <c r="B19" s="6" t="s">
        <v>24</v>
      </c>
      <c r="C19" s="92">
        <f t="shared" si="10"/>
        <v>632000</v>
      </c>
      <c r="D19" s="3">
        <f>4*4000</f>
        <v>16000</v>
      </c>
      <c r="E19" s="3">
        <f t="shared" ref="E19:O19" si="13">14*4000</f>
        <v>56000</v>
      </c>
      <c r="F19" s="3">
        <f t="shared" si="13"/>
        <v>56000</v>
      </c>
      <c r="G19" s="3">
        <f t="shared" si="13"/>
        <v>56000</v>
      </c>
      <c r="H19" s="3">
        <f t="shared" si="13"/>
        <v>56000</v>
      </c>
      <c r="I19" s="3">
        <f t="shared" si="13"/>
        <v>56000</v>
      </c>
      <c r="J19" s="3">
        <f t="shared" si="13"/>
        <v>56000</v>
      </c>
      <c r="K19" s="3">
        <f t="shared" si="13"/>
        <v>56000</v>
      </c>
      <c r="L19" s="3">
        <f t="shared" si="13"/>
        <v>56000</v>
      </c>
      <c r="M19" s="3">
        <f t="shared" si="13"/>
        <v>56000</v>
      </c>
      <c r="N19" s="3">
        <f t="shared" si="13"/>
        <v>56000</v>
      </c>
      <c r="O19" s="3">
        <f t="shared" si="13"/>
        <v>56000</v>
      </c>
      <c r="P19" s="2">
        <f t="shared" si="7"/>
        <v>0</v>
      </c>
    </row>
    <row r="20" spans="1:19" x14ac:dyDescent="0.25">
      <c r="A20" s="22"/>
      <c r="B20" s="6"/>
      <c r="C20" s="92">
        <f t="shared" si="10"/>
        <v>0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2">
        <f t="shared" si="7"/>
        <v>0</v>
      </c>
    </row>
    <row r="21" spans="1:19" x14ac:dyDescent="0.25">
      <c r="A21" s="23" t="s">
        <v>25</v>
      </c>
      <c r="B21" s="14" t="s">
        <v>26</v>
      </c>
      <c r="C21" s="92">
        <f t="shared" si="10"/>
        <v>0</v>
      </c>
      <c r="D21" s="4">
        <f>+D22</f>
        <v>0</v>
      </c>
      <c r="E21" s="4"/>
      <c r="F21" s="4">
        <f t="shared" ref="F21:O21" si="14">+F22</f>
        <v>0</v>
      </c>
      <c r="G21" s="4">
        <f t="shared" si="14"/>
        <v>0</v>
      </c>
      <c r="H21" s="4">
        <f t="shared" si="14"/>
        <v>0</v>
      </c>
      <c r="I21" s="4">
        <f t="shared" si="14"/>
        <v>0</v>
      </c>
      <c r="J21" s="4">
        <f t="shared" si="14"/>
        <v>0</v>
      </c>
      <c r="K21" s="4">
        <f t="shared" si="14"/>
        <v>0</v>
      </c>
      <c r="L21" s="4">
        <f t="shared" si="14"/>
        <v>0</v>
      </c>
      <c r="M21" s="4">
        <f t="shared" si="14"/>
        <v>0</v>
      </c>
      <c r="N21" s="4">
        <f t="shared" si="14"/>
        <v>0</v>
      </c>
      <c r="O21" s="4">
        <f t="shared" si="14"/>
        <v>0</v>
      </c>
      <c r="P21" s="2">
        <f t="shared" si="7"/>
        <v>0</v>
      </c>
    </row>
    <row r="22" spans="1:19" x14ac:dyDescent="0.25">
      <c r="A22" s="22" t="s">
        <v>27</v>
      </c>
      <c r="B22" s="6" t="s">
        <v>28</v>
      </c>
      <c r="C22" s="92">
        <f t="shared" si="10"/>
        <v>0</v>
      </c>
      <c r="D22" s="3">
        <v>0</v>
      </c>
      <c r="E22" s="3"/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2">
        <f t="shared" si="7"/>
        <v>0</v>
      </c>
    </row>
    <row r="23" spans="1:19" x14ac:dyDescent="0.25">
      <c r="A23" s="22"/>
      <c r="B23" s="6"/>
      <c r="C23" s="92">
        <f t="shared" si="10"/>
        <v>0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2">
        <f t="shared" si="7"/>
        <v>0</v>
      </c>
    </row>
    <row r="24" spans="1:19" x14ac:dyDescent="0.25">
      <c r="A24" s="23" t="s">
        <v>29</v>
      </c>
      <c r="B24" s="14" t="s">
        <v>30</v>
      </c>
      <c r="C24" s="92">
        <f t="shared" si="10"/>
        <v>0</v>
      </c>
      <c r="D24" s="4">
        <f>+D25</f>
        <v>0</v>
      </c>
      <c r="E24" s="4"/>
      <c r="F24" s="4">
        <f t="shared" ref="F24:O24" si="15">+F25</f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2">
        <f t="shared" si="7"/>
        <v>0</v>
      </c>
    </row>
    <row r="25" spans="1:19" x14ac:dyDescent="0.25">
      <c r="A25" s="22" t="s">
        <v>31</v>
      </c>
      <c r="B25" s="6" t="s">
        <v>32</v>
      </c>
      <c r="C25" s="92">
        <f t="shared" si="10"/>
        <v>0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2">
        <f t="shared" si="7"/>
        <v>0</v>
      </c>
    </row>
    <row r="26" spans="1:19" x14ac:dyDescent="0.25">
      <c r="C26" s="93"/>
    </row>
    <row r="27" spans="1:19" x14ac:dyDescent="0.25">
      <c r="C27" s="93"/>
    </row>
    <row r="28" spans="1:19" x14ac:dyDescent="0.25">
      <c r="A28" s="24" t="s">
        <v>33</v>
      </c>
      <c r="B28" s="17" t="s">
        <v>34</v>
      </c>
      <c r="C28" s="93">
        <f>+C30+C99</f>
        <v>62120435.536729999</v>
      </c>
      <c r="D28" s="18">
        <f t="shared" ref="D28:O28" si="16">+D30+D99</f>
        <v>4329399.8789333329</v>
      </c>
      <c r="E28" s="18">
        <f t="shared" si="16"/>
        <v>4827435.2584333336</v>
      </c>
      <c r="F28" s="18">
        <f t="shared" si="16"/>
        <v>5397692.9624333335</v>
      </c>
      <c r="G28" s="18">
        <f t="shared" si="16"/>
        <v>5732256.1457283329</v>
      </c>
      <c r="H28" s="18">
        <f t="shared" si="16"/>
        <v>8232256.1457283339</v>
      </c>
      <c r="I28" s="18">
        <f t="shared" si="16"/>
        <v>4751441.5457283333</v>
      </c>
      <c r="J28" s="18">
        <f t="shared" si="16"/>
        <v>4485370.9457283337</v>
      </c>
      <c r="K28" s="18">
        <f t="shared" si="16"/>
        <v>4514835.5457283333</v>
      </c>
      <c r="L28" s="18">
        <f t="shared" si="16"/>
        <v>4790076.9457283337</v>
      </c>
      <c r="M28" s="18">
        <f t="shared" si="16"/>
        <v>4730076.9457283337</v>
      </c>
      <c r="N28" s="18">
        <f t="shared" si="16"/>
        <v>4728344.5378983337</v>
      </c>
      <c r="O28" s="18">
        <f t="shared" si="16"/>
        <v>5601248.6789333336</v>
      </c>
      <c r="P28" s="2">
        <f t="shared" ref="P28" si="17">SUM(D28:O28)-C28</f>
        <v>0</v>
      </c>
    </row>
    <row r="29" spans="1:19" x14ac:dyDescent="0.25">
      <c r="C29" s="9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1:19" x14ac:dyDescent="0.25">
      <c r="A30" s="25" t="s">
        <v>35</v>
      </c>
      <c r="B30" s="19" t="s">
        <v>36</v>
      </c>
      <c r="C30" s="93">
        <f>+C32+C48+C52+C59+C62+C66+C80+C85+C91</f>
        <v>59493435.536729999</v>
      </c>
      <c r="D30" s="20">
        <f t="shared" ref="D30:O30" si="18">+D32+D48+D52+D59+D62+D66+D80+D85+D91</f>
        <v>4199399.8789333329</v>
      </c>
      <c r="E30" s="20">
        <f t="shared" si="18"/>
        <v>4600435.2584333336</v>
      </c>
      <c r="F30" s="20">
        <f t="shared" si="18"/>
        <v>5170692.9624333335</v>
      </c>
      <c r="G30" s="20">
        <f t="shared" si="18"/>
        <v>5505256.1457283329</v>
      </c>
      <c r="H30" s="20">
        <f t="shared" si="18"/>
        <v>8005256.1457283339</v>
      </c>
      <c r="I30" s="20">
        <f t="shared" si="18"/>
        <v>4524441.5457283333</v>
      </c>
      <c r="J30" s="20">
        <f t="shared" si="18"/>
        <v>4258370.9457283337</v>
      </c>
      <c r="K30" s="20">
        <f t="shared" si="18"/>
        <v>4287835.5457283333</v>
      </c>
      <c r="L30" s="20">
        <f t="shared" si="18"/>
        <v>4563076.9457283337</v>
      </c>
      <c r="M30" s="20">
        <f t="shared" si="18"/>
        <v>4503076.9457283337</v>
      </c>
      <c r="N30" s="20">
        <f t="shared" si="18"/>
        <v>4501344.5378983337</v>
      </c>
      <c r="O30" s="20">
        <f t="shared" si="18"/>
        <v>5374248.6789333336</v>
      </c>
      <c r="P30" s="2">
        <f t="shared" ref="P30" si="19">SUM(D30:O30)-C30</f>
        <v>0</v>
      </c>
    </row>
    <row r="31" spans="1:19" x14ac:dyDescent="0.25">
      <c r="C31" s="93"/>
      <c r="R31" s="2"/>
      <c r="S31" s="2"/>
    </row>
    <row r="32" spans="1:19" x14ac:dyDescent="0.25">
      <c r="A32" s="23" t="s">
        <v>37</v>
      </c>
      <c r="B32" s="14" t="s">
        <v>38</v>
      </c>
      <c r="C32" s="92">
        <f>SUM(C33:C46)</f>
        <v>18872536.9472</v>
      </c>
      <c r="D32" s="4">
        <f>SUM(D33:D46)</f>
        <v>1564378.0789333335</v>
      </c>
      <c r="E32" s="4">
        <f t="shared" ref="E32:O32" si="20">SUM(E33:E46)</f>
        <v>1564378.0789333335</v>
      </c>
      <c r="F32" s="4">
        <f t="shared" si="20"/>
        <v>1564378.0789333335</v>
      </c>
      <c r="G32" s="4">
        <f t="shared" si="20"/>
        <v>1664378.0789333335</v>
      </c>
      <c r="H32" s="4">
        <f t="shared" si="20"/>
        <v>1564378.0789333335</v>
      </c>
      <c r="I32" s="4">
        <f t="shared" si="20"/>
        <v>1564378.0789333335</v>
      </c>
      <c r="J32" s="4">
        <f t="shared" si="20"/>
        <v>1564378.0789333335</v>
      </c>
      <c r="K32" s="4">
        <f t="shared" si="20"/>
        <v>1564378.0789333335</v>
      </c>
      <c r="L32" s="4">
        <f t="shared" si="20"/>
        <v>1564378.0789333335</v>
      </c>
      <c r="M32" s="4">
        <f t="shared" si="20"/>
        <v>1564378.0789333335</v>
      </c>
      <c r="N32" s="4">
        <f t="shared" si="20"/>
        <v>1564378.0789333335</v>
      </c>
      <c r="O32" s="4">
        <f t="shared" si="20"/>
        <v>1564378.0789333335</v>
      </c>
      <c r="P32" s="2">
        <f t="shared" ref="P32:P46" si="21">SUM(D32:O32)-C32</f>
        <v>0</v>
      </c>
      <c r="R32" s="2"/>
      <c r="S32" s="2"/>
    </row>
    <row r="33" spans="1:16" x14ac:dyDescent="0.25">
      <c r="A33" s="22" t="s">
        <v>39</v>
      </c>
      <c r="B33" s="6" t="s">
        <v>40</v>
      </c>
      <c r="C33" s="92">
        <f t="shared" ref="C33:C46" si="22">SUM(D33:O33)</f>
        <v>9809760</v>
      </c>
      <c r="D33" s="3">
        <v>817480</v>
      </c>
      <c r="E33" s="3">
        <v>817480</v>
      </c>
      <c r="F33" s="3">
        <v>817480</v>
      </c>
      <c r="G33" s="3">
        <v>817480</v>
      </c>
      <c r="H33" s="3">
        <v>817480</v>
      </c>
      <c r="I33" s="3">
        <v>817480</v>
      </c>
      <c r="J33" s="3">
        <v>817480</v>
      </c>
      <c r="K33" s="3">
        <v>817480</v>
      </c>
      <c r="L33" s="3">
        <v>817480</v>
      </c>
      <c r="M33" s="3">
        <v>817480</v>
      </c>
      <c r="N33" s="3">
        <v>817480</v>
      </c>
      <c r="O33" s="3">
        <v>817480</v>
      </c>
      <c r="P33" s="2">
        <f t="shared" si="21"/>
        <v>0</v>
      </c>
    </row>
    <row r="34" spans="1:16" x14ac:dyDescent="0.25">
      <c r="A34" s="22" t="s">
        <v>41</v>
      </c>
      <c r="B34" s="6" t="s">
        <v>42</v>
      </c>
      <c r="C34" s="92">
        <f t="shared" si="22"/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2">
        <f t="shared" si="21"/>
        <v>0</v>
      </c>
    </row>
    <row r="35" spans="1:16" x14ac:dyDescent="0.25">
      <c r="A35" s="22" t="s">
        <v>43</v>
      </c>
      <c r="B35" s="6" t="s">
        <v>44</v>
      </c>
      <c r="C35" s="92">
        <f t="shared" si="22"/>
        <v>932400</v>
      </c>
      <c r="D35" s="3">
        <v>77700</v>
      </c>
      <c r="E35" s="3">
        <v>77700</v>
      </c>
      <c r="F35" s="3">
        <v>77700</v>
      </c>
      <c r="G35" s="3">
        <v>77700</v>
      </c>
      <c r="H35" s="3">
        <v>77700</v>
      </c>
      <c r="I35" s="3">
        <v>77700</v>
      </c>
      <c r="J35" s="3">
        <v>77700</v>
      </c>
      <c r="K35" s="3">
        <v>77700</v>
      </c>
      <c r="L35" s="3">
        <v>77700</v>
      </c>
      <c r="M35" s="3">
        <v>77700</v>
      </c>
      <c r="N35" s="3">
        <v>77700</v>
      </c>
      <c r="O35" s="3">
        <v>77700</v>
      </c>
      <c r="P35" s="2">
        <f t="shared" si="21"/>
        <v>0</v>
      </c>
    </row>
    <row r="36" spans="1:16" x14ac:dyDescent="0.25">
      <c r="A36" s="22" t="s">
        <v>45</v>
      </c>
      <c r="B36" s="6" t="s">
        <v>46</v>
      </c>
      <c r="C36" s="92">
        <f t="shared" si="22"/>
        <v>895180.00000000012</v>
      </c>
      <c r="D36" s="3">
        <f>(D35+D33)*30/360</f>
        <v>74598.333333333328</v>
      </c>
      <c r="E36" s="3">
        <f t="shared" ref="E36:O36" si="23">(E35+E33)*30/360</f>
        <v>74598.333333333328</v>
      </c>
      <c r="F36" s="3">
        <f t="shared" si="23"/>
        <v>74598.333333333328</v>
      </c>
      <c r="G36" s="3">
        <f t="shared" si="23"/>
        <v>74598.333333333328</v>
      </c>
      <c r="H36" s="3">
        <f t="shared" si="23"/>
        <v>74598.333333333328</v>
      </c>
      <c r="I36" s="3">
        <f t="shared" si="23"/>
        <v>74598.333333333328</v>
      </c>
      <c r="J36" s="3">
        <f t="shared" si="23"/>
        <v>74598.333333333328</v>
      </c>
      <c r="K36" s="3">
        <f t="shared" si="23"/>
        <v>74598.333333333328</v>
      </c>
      <c r="L36" s="3">
        <f t="shared" si="23"/>
        <v>74598.333333333328</v>
      </c>
      <c r="M36" s="3">
        <f t="shared" si="23"/>
        <v>74598.333333333328</v>
      </c>
      <c r="N36" s="3">
        <f t="shared" si="23"/>
        <v>74598.333333333328</v>
      </c>
      <c r="O36" s="3">
        <f t="shared" si="23"/>
        <v>74598.333333333328</v>
      </c>
      <c r="P36" s="2">
        <f t="shared" si="21"/>
        <v>0</v>
      </c>
    </row>
    <row r="37" spans="1:16" x14ac:dyDescent="0.25">
      <c r="A37" s="22" t="s">
        <v>47</v>
      </c>
      <c r="B37" s="6" t="s">
        <v>48</v>
      </c>
      <c r="C37" s="92">
        <f t="shared" si="22"/>
        <v>98097.60000000002</v>
      </c>
      <c r="D37" s="3">
        <f>+D33*1%</f>
        <v>8174.8</v>
      </c>
      <c r="E37" s="3">
        <f t="shared" ref="E37:O37" si="24">+E33*1%</f>
        <v>8174.8</v>
      </c>
      <c r="F37" s="3">
        <f t="shared" si="24"/>
        <v>8174.8</v>
      </c>
      <c r="G37" s="3">
        <f t="shared" si="24"/>
        <v>8174.8</v>
      </c>
      <c r="H37" s="3">
        <f t="shared" si="24"/>
        <v>8174.8</v>
      </c>
      <c r="I37" s="3">
        <f t="shared" si="24"/>
        <v>8174.8</v>
      </c>
      <c r="J37" s="3">
        <f t="shared" si="24"/>
        <v>8174.8</v>
      </c>
      <c r="K37" s="3">
        <f t="shared" si="24"/>
        <v>8174.8</v>
      </c>
      <c r="L37" s="3">
        <f t="shared" si="24"/>
        <v>8174.8</v>
      </c>
      <c r="M37" s="3">
        <f t="shared" si="24"/>
        <v>8174.8</v>
      </c>
      <c r="N37" s="3">
        <f t="shared" si="24"/>
        <v>8174.8</v>
      </c>
      <c r="O37" s="3">
        <f t="shared" si="24"/>
        <v>8174.8</v>
      </c>
      <c r="P37" s="2">
        <f t="shared" si="21"/>
        <v>0</v>
      </c>
    </row>
    <row r="38" spans="1:16" x14ac:dyDescent="0.25">
      <c r="A38" s="22" t="s">
        <v>49</v>
      </c>
      <c r="B38" s="6" t="s">
        <v>50</v>
      </c>
      <c r="C38" s="92">
        <f t="shared" si="22"/>
        <v>895180.00000000012</v>
      </c>
      <c r="D38" s="3">
        <f>(D33+D35)*30/360</f>
        <v>74598.333333333328</v>
      </c>
      <c r="E38" s="3">
        <f t="shared" ref="E38:O38" si="25">(E33+E35)*30/360</f>
        <v>74598.333333333328</v>
      </c>
      <c r="F38" s="3">
        <f t="shared" si="25"/>
        <v>74598.333333333328</v>
      </c>
      <c r="G38" s="3">
        <f t="shared" si="25"/>
        <v>74598.333333333328</v>
      </c>
      <c r="H38" s="3">
        <f t="shared" si="25"/>
        <v>74598.333333333328</v>
      </c>
      <c r="I38" s="3">
        <f t="shared" si="25"/>
        <v>74598.333333333328</v>
      </c>
      <c r="J38" s="3">
        <f t="shared" si="25"/>
        <v>74598.333333333328</v>
      </c>
      <c r="K38" s="3">
        <f t="shared" si="25"/>
        <v>74598.333333333328</v>
      </c>
      <c r="L38" s="3">
        <f t="shared" si="25"/>
        <v>74598.333333333328</v>
      </c>
      <c r="M38" s="3">
        <f t="shared" si="25"/>
        <v>74598.333333333328</v>
      </c>
      <c r="N38" s="3">
        <f t="shared" si="25"/>
        <v>74598.333333333328</v>
      </c>
      <c r="O38" s="3">
        <f t="shared" si="25"/>
        <v>74598.333333333328</v>
      </c>
      <c r="P38" s="2">
        <f t="shared" si="21"/>
        <v>0</v>
      </c>
    </row>
    <row r="39" spans="1:16" x14ac:dyDescent="0.25">
      <c r="A39" s="22" t="s">
        <v>51</v>
      </c>
      <c r="B39" s="6" t="s">
        <v>52</v>
      </c>
      <c r="C39" s="92">
        <f t="shared" si="22"/>
        <v>447590.00000000006</v>
      </c>
      <c r="D39" s="3">
        <f>(D33+D35)*30/720</f>
        <v>37299.166666666664</v>
      </c>
      <c r="E39" s="3">
        <f t="shared" ref="E39:O39" si="26">(E33+E35)*30/720</f>
        <v>37299.166666666664</v>
      </c>
      <c r="F39" s="3">
        <f t="shared" si="26"/>
        <v>37299.166666666664</v>
      </c>
      <c r="G39" s="3">
        <f t="shared" si="26"/>
        <v>37299.166666666664</v>
      </c>
      <c r="H39" s="3">
        <f t="shared" si="26"/>
        <v>37299.166666666664</v>
      </c>
      <c r="I39" s="3">
        <f t="shared" si="26"/>
        <v>37299.166666666664</v>
      </c>
      <c r="J39" s="3">
        <f t="shared" si="26"/>
        <v>37299.166666666664</v>
      </c>
      <c r="K39" s="3">
        <f t="shared" si="26"/>
        <v>37299.166666666664</v>
      </c>
      <c r="L39" s="3">
        <f t="shared" si="26"/>
        <v>37299.166666666664</v>
      </c>
      <c r="M39" s="3">
        <f t="shared" si="26"/>
        <v>37299.166666666664</v>
      </c>
      <c r="N39" s="3">
        <f t="shared" si="26"/>
        <v>37299.166666666664</v>
      </c>
      <c r="O39" s="3">
        <f t="shared" si="26"/>
        <v>37299.166666666664</v>
      </c>
      <c r="P39" s="2">
        <f t="shared" si="21"/>
        <v>0</v>
      </c>
    </row>
    <row r="40" spans="1:16" x14ac:dyDescent="0.25">
      <c r="A40" s="22" t="s">
        <v>53</v>
      </c>
      <c r="B40" s="6" t="s">
        <v>54</v>
      </c>
      <c r="C40" s="92">
        <f t="shared" si="22"/>
        <v>4024512</v>
      </c>
      <c r="D40" s="3">
        <v>335376</v>
      </c>
      <c r="E40" s="3">
        <v>335376</v>
      </c>
      <c r="F40" s="3">
        <v>335376</v>
      </c>
      <c r="G40" s="3">
        <v>335376</v>
      </c>
      <c r="H40" s="3">
        <v>335376</v>
      </c>
      <c r="I40" s="3">
        <v>335376</v>
      </c>
      <c r="J40" s="3">
        <v>335376</v>
      </c>
      <c r="K40" s="3">
        <v>335376</v>
      </c>
      <c r="L40" s="3">
        <v>335376</v>
      </c>
      <c r="M40" s="3">
        <v>335376</v>
      </c>
      <c r="N40" s="3">
        <v>335376</v>
      </c>
      <c r="O40" s="3">
        <v>335376</v>
      </c>
      <c r="P40" s="2">
        <f t="shared" si="21"/>
        <v>0</v>
      </c>
    </row>
    <row r="41" spans="1:16" x14ac:dyDescent="0.25">
      <c r="A41" s="22" t="s">
        <v>55</v>
      </c>
      <c r="B41" s="6" t="s">
        <v>56</v>
      </c>
      <c r="C41" s="92">
        <f t="shared" si="22"/>
        <v>100000</v>
      </c>
      <c r="D41" s="3"/>
      <c r="E41" s="3"/>
      <c r="F41" s="3"/>
      <c r="G41" s="3">
        <v>100000</v>
      </c>
      <c r="H41" s="3"/>
      <c r="I41" s="3"/>
      <c r="J41" s="3"/>
      <c r="K41" s="3"/>
      <c r="L41" s="3"/>
      <c r="M41" s="3"/>
      <c r="N41" s="3"/>
      <c r="O41" s="3"/>
      <c r="P41" s="2">
        <f t="shared" si="21"/>
        <v>0</v>
      </c>
    </row>
    <row r="42" spans="1:16" x14ac:dyDescent="0.25">
      <c r="A42" s="22" t="s">
        <v>57</v>
      </c>
      <c r="B42" s="6" t="s">
        <v>58</v>
      </c>
      <c r="C42" s="92">
        <f t="shared" si="22"/>
        <v>0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2">
        <f t="shared" si="21"/>
        <v>0</v>
      </c>
    </row>
    <row r="43" spans="1:16" x14ac:dyDescent="0.25">
      <c r="A43" s="22" t="s">
        <v>59</v>
      </c>
      <c r="B43" s="6" t="s">
        <v>60</v>
      </c>
      <c r="C43" s="92">
        <f t="shared" si="22"/>
        <v>51206.947200000017</v>
      </c>
      <c r="D43" s="3">
        <f>+D33*0.522%</f>
        <v>4267.2456000000002</v>
      </c>
      <c r="E43" s="3">
        <f t="shared" ref="E43:O43" si="27">+E33*0.522%</f>
        <v>4267.2456000000002</v>
      </c>
      <c r="F43" s="3">
        <f t="shared" si="27"/>
        <v>4267.2456000000002</v>
      </c>
      <c r="G43" s="3">
        <f t="shared" si="27"/>
        <v>4267.2456000000002</v>
      </c>
      <c r="H43" s="3">
        <f t="shared" si="27"/>
        <v>4267.2456000000002</v>
      </c>
      <c r="I43" s="3">
        <f t="shared" si="27"/>
        <v>4267.2456000000002</v>
      </c>
      <c r="J43" s="3">
        <f t="shared" si="27"/>
        <v>4267.2456000000002</v>
      </c>
      <c r="K43" s="3">
        <f t="shared" si="27"/>
        <v>4267.2456000000002</v>
      </c>
      <c r="L43" s="3">
        <f t="shared" si="27"/>
        <v>4267.2456000000002</v>
      </c>
      <c r="M43" s="3">
        <f t="shared" si="27"/>
        <v>4267.2456000000002</v>
      </c>
      <c r="N43" s="3">
        <f t="shared" si="27"/>
        <v>4267.2456000000002</v>
      </c>
      <c r="O43" s="3">
        <f t="shared" si="27"/>
        <v>4267.2456000000002</v>
      </c>
      <c r="P43" s="2">
        <f t="shared" si="21"/>
        <v>0</v>
      </c>
    </row>
    <row r="44" spans="1:16" x14ac:dyDescent="0.25">
      <c r="A44" s="22" t="s">
        <v>61</v>
      </c>
      <c r="B44" s="6" t="s">
        <v>62</v>
      </c>
      <c r="C44" s="92">
        <f t="shared" si="22"/>
        <v>0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2">
        <f t="shared" si="21"/>
        <v>0</v>
      </c>
    </row>
    <row r="45" spans="1:16" x14ac:dyDescent="0.25">
      <c r="A45" s="22" t="s">
        <v>63</v>
      </c>
      <c r="B45" s="6" t="s">
        <v>64</v>
      </c>
      <c r="C45" s="92">
        <f t="shared" si="22"/>
        <v>1226220</v>
      </c>
      <c r="D45" s="3">
        <f>+D33*12.5%</f>
        <v>102185</v>
      </c>
      <c r="E45" s="3">
        <f t="shared" ref="E45:O45" si="28">+E33*12.5%</f>
        <v>102185</v>
      </c>
      <c r="F45" s="3">
        <f t="shared" si="28"/>
        <v>102185</v>
      </c>
      <c r="G45" s="3">
        <f t="shared" si="28"/>
        <v>102185</v>
      </c>
      <c r="H45" s="3">
        <f t="shared" si="28"/>
        <v>102185</v>
      </c>
      <c r="I45" s="3">
        <f t="shared" si="28"/>
        <v>102185</v>
      </c>
      <c r="J45" s="3">
        <f t="shared" si="28"/>
        <v>102185</v>
      </c>
      <c r="K45" s="3">
        <f t="shared" si="28"/>
        <v>102185</v>
      </c>
      <c r="L45" s="3">
        <f t="shared" si="28"/>
        <v>102185</v>
      </c>
      <c r="M45" s="3">
        <f t="shared" si="28"/>
        <v>102185</v>
      </c>
      <c r="N45" s="3">
        <f t="shared" si="28"/>
        <v>102185</v>
      </c>
      <c r="O45" s="3">
        <f t="shared" si="28"/>
        <v>102185</v>
      </c>
      <c r="P45" s="2">
        <f t="shared" si="21"/>
        <v>0</v>
      </c>
    </row>
    <row r="46" spans="1:16" x14ac:dyDescent="0.25">
      <c r="A46" s="22" t="s">
        <v>65</v>
      </c>
      <c r="B46" s="6" t="s">
        <v>66</v>
      </c>
      <c r="C46" s="92">
        <f t="shared" si="22"/>
        <v>392390.40000000008</v>
      </c>
      <c r="D46" s="3">
        <f>+D33*4%</f>
        <v>32699.200000000001</v>
      </c>
      <c r="E46" s="3">
        <f t="shared" ref="E46:O46" si="29">+E33*4%</f>
        <v>32699.200000000001</v>
      </c>
      <c r="F46" s="3">
        <f t="shared" si="29"/>
        <v>32699.200000000001</v>
      </c>
      <c r="G46" s="3">
        <f t="shared" si="29"/>
        <v>32699.200000000001</v>
      </c>
      <c r="H46" s="3">
        <f t="shared" si="29"/>
        <v>32699.200000000001</v>
      </c>
      <c r="I46" s="3">
        <f t="shared" si="29"/>
        <v>32699.200000000001</v>
      </c>
      <c r="J46" s="3">
        <f t="shared" si="29"/>
        <v>32699.200000000001</v>
      </c>
      <c r="K46" s="3">
        <f t="shared" si="29"/>
        <v>32699.200000000001</v>
      </c>
      <c r="L46" s="3">
        <f t="shared" si="29"/>
        <v>32699.200000000001</v>
      </c>
      <c r="M46" s="3">
        <f t="shared" si="29"/>
        <v>32699.200000000001</v>
      </c>
      <c r="N46" s="3">
        <f t="shared" si="29"/>
        <v>32699.200000000001</v>
      </c>
      <c r="O46" s="3">
        <f t="shared" si="29"/>
        <v>32699.200000000001</v>
      </c>
      <c r="P46" s="2">
        <f t="shared" si="21"/>
        <v>0</v>
      </c>
    </row>
    <row r="47" spans="1:16" x14ac:dyDescent="0.25">
      <c r="C47" s="94"/>
    </row>
    <row r="48" spans="1:16" x14ac:dyDescent="0.25">
      <c r="A48" s="23" t="s">
        <v>67</v>
      </c>
      <c r="B48" s="14" t="s">
        <v>68</v>
      </c>
      <c r="C48" s="92">
        <f>SUM(C49:C50)</f>
        <v>8700000</v>
      </c>
      <c r="D48" s="4">
        <f>SUM(D49:D50)</f>
        <v>350000</v>
      </c>
      <c r="E48" s="4">
        <f t="shared" ref="E48:O48" si="30">SUM(E49:E50)</f>
        <v>350000</v>
      </c>
      <c r="F48" s="4">
        <f t="shared" si="30"/>
        <v>850000</v>
      </c>
      <c r="G48" s="4">
        <f t="shared" si="30"/>
        <v>850000</v>
      </c>
      <c r="H48" s="4">
        <f t="shared" si="30"/>
        <v>3850000</v>
      </c>
      <c r="I48" s="4">
        <f t="shared" si="30"/>
        <v>350000</v>
      </c>
      <c r="J48" s="4">
        <f t="shared" si="30"/>
        <v>350000</v>
      </c>
      <c r="K48" s="4">
        <f t="shared" si="30"/>
        <v>350000</v>
      </c>
      <c r="L48" s="4">
        <f t="shared" si="30"/>
        <v>350000</v>
      </c>
      <c r="M48" s="4">
        <f t="shared" si="30"/>
        <v>350000</v>
      </c>
      <c r="N48" s="4">
        <f t="shared" si="30"/>
        <v>350000</v>
      </c>
      <c r="O48" s="4">
        <f t="shared" si="30"/>
        <v>350000</v>
      </c>
      <c r="P48" s="2">
        <f t="shared" ref="P48:P50" si="31">SUM(D48:O48)-C48</f>
        <v>0</v>
      </c>
    </row>
    <row r="49" spans="1:16" x14ac:dyDescent="0.25">
      <c r="A49" s="22" t="s">
        <v>69</v>
      </c>
      <c r="B49" s="6" t="s">
        <v>70</v>
      </c>
      <c r="C49" s="92">
        <f>SUM(D49:O49)</f>
        <v>4200000</v>
      </c>
      <c r="D49" s="3">
        <v>350000</v>
      </c>
      <c r="E49" s="3">
        <v>350000</v>
      </c>
      <c r="F49" s="3">
        <v>350000</v>
      </c>
      <c r="G49" s="3">
        <v>350000</v>
      </c>
      <c r="H49" s="3">
        <v>350000</v>
      </c>
      <c r="I49" s="3">
        <v>350000</v>
      </c>
      <c r="J49" s="3">
        <v>350000</v>
      </c>
      <c r="K49" s="3">
        <v>350000</v>
      </c>
      <c r="L49" s="3">
        <v>350000</v>
      </c>
      <c r="M49" s="3">
        <v>350000</v>
      </c>
      <c r="N49" s="3">
        <v>350000</v>
      </c>
      <c r="O49" s="3">
        <v>350000</v>
      </c>
      <c r="P49" s="2">
        <f t="shared" si="31"/>
        <v>0</v>
      </c>
    </row>
    <row r="50" spans="1:16" x14ac:dyDescent="0.25">
      <c r="A50" s="22" t="s">
        <v>71</v>
      </c>
      <c r="B50" s="6" t="s">
        <v>225</v>
      </c>
      <c r="C50" s="92">
        <f>SUM(D50:O50)</f>
        <v>4500000</v>
      </c>
      <c r="D50" s="3"/>
      <c r="E50" s="3"/>
      <c r="F50" s="3">
        <v>500000</v>
      </c>
      <c r="G50" s="3">
        <v>500000</v>
      </c>
      <c r="H50" s="3">
        <v>3500000</v>
      </c>
      <c r="I50" s="3"/>
      <c r="J50" s="3"/>
      <c r="K50" s="3"/>
      <c r="L50" s="3"/>
      <c r="M50" s="3"/>
      <c r="N50" s="3"/>
      <c r="O50" s="3"/>
      <c r="P50" s="2">
        <f t="shared" si="31"/>
        <v>0</v>
      </c>
    </row>
    <row r="51" spans="1:16" x14ac:dyDescent="0.25">
      <c r="C51" s="94"/>
    </row>
    <row r="52" spans="1:16" x14ac:dyDescent="0.25">
      <c r="A52" s="23" t="s">
        <v>72</v>
      </c>
      <c r="B52" s="14" t="s">
        <v>73</v>
      </c>
      <c r="C52" s="92">
        <f>SUM(C53:C57)</f>
        <v>6579730.5895299995</v>
      </c>
      <c r="D52" s="4">
        <f t="shared" ref="D52:O52" si="32">SUM(D53:D57)</f>
        <v>363257.8</v>
      </c>
      <c r="E52" s="4">
        <f t="shared" si="32"/>
        <v>704293.17949999997</v>
      </c>
      <c r="F52" s="4">
        <f t="shared" si="32"/>
        <v>720550.88349999988</v>
      </c>
      <c r="G52" s="4">
        <f t="shared" si="32"/>
        <v>655114.06679499999</v>
      </c>
      <c r="H52" s="4">
        <f t="shared" si="32"/>
        <v>655114.06679499999</v>
      </c>
      <c r="I52" s="4">
        <f t="shared" si="32"/>
        <v>614299.46679500001</v>
      </c>
      <c r="J52" s="4">
        <f t="shared" si="32"/>
        <v>408228.86679500004</v>
      </c>
      <c r="K52" s="4">
        <f t="shared" si="32"/>
        <v>437693.46679500001</v>
      </c>
      <c r="L52" s="4">
        <f t="shared" si="32"/>
        <v>652934.86679500004</v>
      </c>
      <c r="M52" s="4">
        <f t="shared" si="32"/>
        <v>652934.86679500004</v>
      </c>
      <c r="N52" s="4">
        <f t="shared" si="32"/>
        <v>251202.458965</v>
      </c>
      <c r="O52" s="4">
        <f t="shared" si="32"/>
        <v>464106.6</v>
      </c>
      <c r="P52" s="2">
        <f t="shared" ref="P52:P57" si="33">SUM(D52:O52)-C52</f>
        <v>0</v>
      </c>
    </row>
    <row r="53" spans="1:16" x14ac:dyDescent="0.25">
      <c r="A53" s="22" t="s">
        <v>74</v>
      </c>
      <c r="B53" s="6" t="s">
        <v>75</v>
      </c>
      <c r="C53" s="92">
        <f t="shared" ref="C53:C57" si="34">SUM(D53:O53)</f>
        <v>5026594.1217299998</v>
      </c>
      <c r="D53" s="3">
        <f t="shared" ref="D53:O53" si="35">+D3*4.14%</f>
        <v>251836.19999999998</v>
      </c>
      <c r="E53" s="3">
        <f t="shared" si="35"/>
        <v>562824.40949999995</v>
      </c>
      <c r="F53" s="3">
        <f t="shared" si="35"/>
        <v>575607.07349999994</v>
      </c>
      <c r="G53" s="3">
        <f t="shared" si="35"/>
        <v>515935.61509500002</v>
      </c>
      <c r="H53" s="3">
        <f t="shared" si="35"/>
        <v>515935.61509500002</v>
      </c>
      <c r="I53" s="3">
        <f t="shared" si="35"/>
        <v>478717.01509500004</v>
      </c>
      <c r="J53" s="3">
        <f t="shared" si="35"/>
        <v>290802.415095</v>
      </c>
      <c r="K53" s="3">
        <f t="shared" si="35"/>
        <v>317671.01509499998</v>
      </c>
      <c r="L53" s="3">
        <f t="shared" si="35"/>
        <v>513948.415095</v>
      </c>
      <c r="M53" s="3">
        <f t="shared" si="35"/>
        <v>513948.415095</v>
      </c>
      <c r="N53" s="3">
        <f t="shared" si="35"/>
        <v>147610.93306499999</v>
      </c>
      <c r="O53" s="3">
        <f t="shared" si="35"/>
        <v>341757</v>
      </c>
      <c r="P53" s="2">
        <f t="shared" si="33"/>
        <v>0</v>
      </c>
    </row>
    <row r="54" spans="1:16" x14ac:dyDescent="0.25">
      <c r="A54" s="22" t="s">
        <v>76</v>
      </c>
      <c r="B54" s="6" t="s">
        <v>77</v>
      </c>
      <c r="C54" s="92">
        <f t="shared" si="34"/>
        <v>0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2">
        <f t="shared" si="33"/>
        <v>0</v>
      </c>
    </row>
    <row r="55" spans="1:16" x14ac:dyDescent="0.25">
      <c r="A55" s="22" t="s">
        <v>78</v>
      </c>
      <c r="B55" s="6" t="s">
        <v>79</v>
      </c>
      <c r="C55" s="92">
        <f t="shared" si="34"/>
        <v>1067475.2</v>
      </c>
      <c r="D55" s="3">
        <f>(D60*16%)+(D134*16%)+4000+8000+(140*1000)*16%</f>
        <v>87089.600000000006</v>
      </c>
      <c r="E55" s="3">
        <f>(E60*16%)+(E134*16%)+4000+8000+(140*1000)*16%</f>
        <v>87089.600000000006</v>
      </c>
      <c r="F55" s="3">
        <f t="shared" ref="F55:O55" si="36">(F60*16%)+(F134*16%)+4000+8000+(140*1000)*16%</f>
        <v>89329.600000000006</v>
      </c>
      <c r="G55" s="3">
        <f t="shared" si="36"/>
        <v>89329.600000000006</v>
      </c>
      <c r="H55" s="3">
        <f t="shared" si="36"/>
        <v>89329.600000000006</v>
      </c>
      <c r="I55" s="3">
        <f t="shared" si="36"/>
        <v>89329.600000000006</v>
      </c>
      <c r="J55" s="3">
        <f t="shared" si="36"/>
        <v>89329.600000000006</v>
      </c>
      <c r="K55" s="3">
        <f t="shared" si="36"/>
        <v>89329.600000000006</v>
      </c>
      <c r="L55" s="3">
        <f t="shared" si="36"/>
        <v>89329.600000000006</v>
      </c>
      <c r="M55" s="3">
        <f t="shared" si="36"/>
        <v>89329.600000000006</v>
      </c>
      <c r="N55" s="3">
        <f t="shared" si="36"/>
        <v>89329.600000000006</v>
      </c>
      <c r="O55" s="3">
        <f t="shared" si="36"/>
        <v>89329.600000000006</v>
      </c>
      <c r="P55" s="2">
        <f t="shared" si="33"/>
        <v>0</v>
      </c>
    </row>
    <row r="56" spans="1:16" x14ac:dyDescent="0.25">
      <c r="A56" s="22" t="s">
        <v>80</v>
      </c>
      <c r="B56" s="6" t="s">
        <v>81</v>
      </c>
      <c r="C56" s="92">
        <f t="shared" si="34"/>
        <v>485661.26779999997</v>
      </c>
      <c r="D56" s="3">
        <f t="shared" ref="D56:O56" si="37">+D3*0.004</f>
        <v>24332</v>
      </c>
      <c r="E56" s="3">
        <f t="shared" si="37"/>
        <v>54379.17</v>
      </c>
      <c r="F56" s="3">
        <f t="shared" si="37"/>
        <v>55614.21</v>
      </c>
      <c r="G56" s="3">
        <f t="shared" si="37"/>
        <v>49848.851700000007</v>
      </c>
      <c r="H56" s="3">
        <f t="shared" si="37"/>
        <v>49848.851700000007</v>
      </c>
      <c r="I56" s="3">
        <f t="shared" si="37"/>
        <v>46252.851700000007</v>
      </c>
      <c r="J56" s="3">
        <f t="shared" si="37"/>
        <v>28096.851699999999</v>
      </c>
      <c r="K56" s="3">
        <f t="shared" si="37"/>
        <v>30692.851699999999</v>
      </c>
      <c r="L56" s="3">
        <f t="shared" si="37"/>
        <v>49656.851700000007</v>
      </c>
      <c r="M56" s="3">
        <f t="shared" si="37"/>
        <v>49656.851700000007</v>
      </c>
      <c r="N56" s="3">
        <f t="shared" si="37"/>
        <v>14261.925899999998</v>
      </c>
      <c r="O56" s="3">
        <f t="shared" si="37"/>
        <v>33020</v>
      </c>
      <c r="P56" s="2">
        <f t="shared" si="33"/>
        <v>0</v>
      </c>
    </row>
    <row r="57" spans="1:16" x14ac:dyDescent="0.25">
      <c r="A57" s="22" t="s">
        <v>82</v>
      </c>
      <c r="B57" s="6" t="s">
        <v>24</v>
      </c>
      <c r="C57" s="92">
        <f t="shared" si="34"/>
        <v>0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2">
        <f t="shared" si="33"/>
        <v>0</v>
      </c>
    </row>
    <row r="58" spans="1:16" x14ac:dyDescent="0.25">
      <c r="C58" s="94"/>
    </row>
    <row r="59" spans="1:16" x14ac:dyDescent="0.25">
      <c r="A59" s="23" t="s">
        <v>83</v>
      </c>
      <c r="B59" s="14" t="s">
        <v>84</v>
      </c>
      <c r="C59" s="92">
        <f>+C60</f>
        <v>2540000</v>
      </c>
      <c r="D59" s="4">
        <f t="shared" ref="D59:O59" si="38">+D60</f>
        <v>200000</v>
      </c>
      <c r="E59" s="4">
        <f t="shared" si="38"/>
        <v>200000</v>
      </c>
      <c r="F59" s="4">
        <f t="shared" si="38"/>
        <v>214000</v>
      </c>
      <c r="G59" s="4">
        <f t="shared" si="38"/>
        <v>214000</v>
      </c>
      <c r="H59" s="4">
        <f t="shared" si="38"/>
        <v>214000</v>
      </c>
      <c r="I59" s="4">
        <f t="shared" si="38"/>
        <v>214000</v>
      </c>
      <c r="J59" s="4">
        <f t="shared" si="38"/>
        <v>214000</v>
      </c>
      <c r="K59" s="4">
        <f t="shared" si="38"/>
        <v>214000</v>
      </c>
      <c r="L59" s="4">
        <f t="shared" si="38"/>
        <v>214000</v>
      </c>
      <c r="M59" s="4">
        <f t="shared" si="38"/>
        <v>214000</v>
      </c>
      <c r="N59" s="4">
        <f t="shared" si="38"/>
        <v>214000</v>
      </c>
      <c r="O59" s="4">
        <f t="shared" si="38"/>
        <v>214000</v>
      </c>
      <c r="P59" s="2">
        <f t="shared" ref="P59:P60" si="39">SUM(D59:O59)-C59</f>
        <v>0</v>
      </c>
    </row>
    <row r="60" spans="1:16" x14ac:dyDescent="0.25">
      <c r="A60" s="22" t="s">
        <v>85</v>
      </c>
      <c r="B60" s="6" t="s">
        <v>86</v>
      </c>
      <c r="C60" s="92">
        <f t="shared" ref="C60" si="40">SUM(D60:O60)</f>
        <v>2540000</v>
      </c>
      <c r="D60" s="3">
        <v>200000</v>
      </c>
      <c r="E60" s="3">
        <v>200000</v>
      </c>
      <c r="F60" s="3">
        <v>214000</v>
      </c>
      <c r="G60" s="3">
        <v>214000</v>
      </c>
      <c r="H60" s="3">
        <v>214000</v>
      </c>
      <c r="I60" s="3">
        <v>214000</v>
      </c>
      <c r="J60" s="3">
        <v>214000</v>
      </c>
      <c r="K60" s="3">
        <v>214000</v>
      </c>
      <c r="L60" s="3">
        <v>214000</v>
      </c>
      <c r="M60" s="3">
        <v>214000</v>
      </c>
      <c r="N60" s="3">
        <v>214000</v>
      </c>
      <c r="O60" s="3">
        <v>214000</v>
      </c>
      <c r="P60" s="2">
        <f t="shared" si="39"/>
        <v>0</v>
      </c>
    </row>
    <row r="61" spans="1:16" x14ac:dyDescent="0.25">
      <c r="C61" s="94"/>
    </row>
    <row r="62" spans="1:16" x14ac:dyDescent="0.25">
      <c r="A62" s="23" t="s">
        <v>87</v>
      </c>
      <c r="B62" s="14" t="s">
        <v>88</v>
      </c>
      <c r="C62" s="92">
        <f>+C63</f>
        <v>400000</v>
      </c>
      <c r="D62" s="4">
        <f t="shared" ref="D62:O62" si="41">+D63</f>
        <v>0</v>
      </c>
      <c r="E62" s="4">
        <f t="shared" si="41"/>
        <v>0</v>
      </c>
      <c r="F62" s="4">
        <f t="shared" si="41"/>
        <v>0</v>
      </c>
      <c r="G62" s="4">
        <f t="shared" si="41"/>
        <v>0</v>
      </c>
      <c r="H62" s="4">
        <f t="shared" si="41"/>
        <v>0</v>
      </c>
      <c r="I62" s="4">
        <f t="shared" si="41"/>
        <v>0</v>
      </c>
      <c r="J62" s="4">
        <f t="shared" si="41"/>
        <v>0</v>
      </c>
      <c r="K62" s="4">
        <f t="shared" si="41"/>
        <v>0</v>
      </c>
      <c r="L62" s="4">
        <f t="shared" si="41"/>
        <v>0</v>
      </c>
      <c r="M62" s="4">
        <f t="shared" si="41"/>
        <v>0</v>
      </c>
      <c r="N62" s="4">
        <f t="shared" si="41"/>
        <v>400000</v>
      </c>
      <c r="O62" s="4">
        <f t="shared" si="41"/>
        <v>0</v>
      </c>
      <c r="P62" s="2">
        <f t="shared" ref="P62:P63" si="42">SUM(D62:O62)-C62</f>
        <v>0</v>
      </c>
    </row>
    <row r="63" spans="1:16" x14ac:dyDescent="0.25">
      <c r="A63" s="22" t="s">
        <v>89</v>
      </c>
      <c r="B63" s="6" t="s">
        <v>227</v>
      </c>
      <c r="C63" s="92">
        <f t="shared" ref="C63" si="43">SUM(D63:O63)</f>
        <v>400000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>
        <v>400000</v>
      </c>
      <c r="O63" s="3"/>
      <c r="P63" s="2">
        <f t="shared" si="42"/>
        <v>0</v>
      </c>
    </row>
    <row r="64" spans="1:16" x14ac:dyDescent="0.25">
      <c r="C64" s="93"/>
    </row>
    <row r="65" spans="1:16" x14ac:dyDescent="0.25">
      <c r="C65" s="93"/>
    </row>
    <row r="66" spans="1:16" x14ac:dyDescent="0.25">
      <c r="A66" s="23" t="s">
        <v>95</v>
      </c>
      <c r="B66" s="14" t="s">
        <v>96</v>
      </c>
      <c r="C66" s="92">
        <f>SUM(C67:C73)</f>
        <v>10016000</v>
      </c>
      <c r="D66" s="4">
        <f t="shared" ref="D66:O66" si="44">SUM(D67:D73)</f>
        <v>718000</v>
      </c>
      <c r="E66" s="4">
        <f t="shared" si="44"/>
        <v>718000</v>
      </c>
      <c r="F66" s="4">
        <f t="shared" si="44"/>
        <v>718000</v>
      </c>
      <c r="G66" s="4">
        <f t="shared" si="44"/>
        <v>1118000</v>
      </c>
      <c r="H66" s="4">
        <f t="shared" si="44"/>
        <v>718000</v>
      </c>
      <c r="I66" s="4">
        <f t="shared" si="44"/>
        <v>718000</v>
      </c>
      <c r="J66" s="4">
        <f t="shared" si="44"/>
        <v>718000</v>
      </c>
      <c r="K66" s="4">
        <f t="shared" si="44"/>
        <v>718000</v>
      </c>
      <c r="L66" s="4">
        <f t="shared" si="44"/>
        <v>718000</v>
      </c>
      <c r="M66" s="4">
        <f t="shared" si="44"/>
        <v>718000</v>
      </c>
      <c r="N66" s="4">
        <f t="shared" si="44"/>
        <v>718000</v>
      </c>
      <c r="O66" s="4">
        <f t="shared" si="44"/>
        <v>1718000</v>
      </c>
      <c r="P66" s="2">
        <f t="shared" ref="P66:P73" si="45">SUM(D66:O66)-C66</f>
        <v>0</v>
      </c>
    </row>
    <row r="67" spans="1:16" x14ac:dyDescent="0.25">
      <c r="A67" s="22" t="s">
        <v>97</v>
      </c>
      <c r="B67" s="6" t="s">
        <v>98</v>
      </c>
      <c r="C67" s="92">
        <f t="shared" ref="C67:C73" si="46">SUM(D67:O67)</f>
        <v>420000</v>
      </c>
      <c r="D67" s="3">
        <f>420000/12</f>
        <v>35000</v>
      </c>
      <c r="E67" s="3">
        <f t="shared" ref="E67:O67" si="47">420000/12</f>
        <v>35000</v>
      </c>
      <c r="F67" s="3">
        <f t="shared" si="47"/>
        <v>35000</v>
      </c>
      <c r="G67" s="3">
        <f t="shared" si="47"/>
        <v>35000</v>
      </c>
      <c r="H67" s="3">
        <f t="shared" si="47"/>
        <v>35000</v>
      </c>
      <c r="I67" s="3">
        <f t="shared" si="47"/>
        <v>35000</v>
      </c>
      <c r="J67" s="3">
        <f t="shared" si="47"/>
        <v>35000</v>
      </c>
      <c r="K67" s="3">
        <f t="shared" si="47"/>
        <v>35000</v>
      </c>
      <c r="L67" s="3">
        <f t="shared" si="47"/>
        <v>35000</v>
      </c>
      <c r="M67" s="3">
        <f t="shared" si="47"/>
        <v>35000</v>
      </c>
      <c r="N67" s="3">
        <f t="shared" si="47"/>
        <v>35000</v>
      </c>
      <c r="O67" s="3">
        <f t="shared" si="47"/>
        <v>35000</v>
      </c>
      <c r="P67" s="2">
        <f t="shared" si="45"/>
        <v>0</v>
      </c>
    </row>
    <row r="68" spans="1:16" x14ac:dyDescent="0.25">
      <c r="A68" s="22" t="s">
        <v>99</v>
      </c>
      <c r="B68" s="6" t="s">
        <v>100</v>
      </c>
      <c r="C68" s="92">
        <f t="shared" si="46"/>
        <v>6000000</v>
      </c>
      <c r="D68" s="3">
        <f>100000+400000</f>
        <v>500000</v>
      </c>
      <c r="E68" s="3">
        <f t="shared" ref="E68:O68" si="48">100000+400000</f>
        <v>500000</v>
      </c>
      <c r="F68" s="3">
        <f t="shared" si="48"/>
        <v>500000</v>
      </c>
      <c r="G68" s="3">
        <f t="shared" si="48"/>
        <v>500000</v>
      </c>
      <c r="H68" s="3">
        <f t="shared" si="48"/>
        <v>500000</v>
      </c>
      <c r="I68" s="3">
        <f t="shared" si="48"/>
        <v>500000</v>
      </c>
      <c r="J68" s="3">
        <f t="shared" si="48"/>
        <v>500000</v>
      </c>
      <c r="K68" s="3">
        <f t="shared" si="48"/>
        <v>500000</v>
      </c>
      <c r="L68" s="3">
        <f t="shared" si="48"/>
        <v>500000</v>
      </c>
      <c r="M68" s="3">
        <f t="shared" si="48"/>
        <v>500000</v>
      </c>
      <c r="N68" s="3">
        <f t="shared" si="48"/>
        <v>500000</v>
      </c>
      <c r="O68" s="3">
        <f t="shared" si="48"/>
        <v>500000</v>
      </c>
      <c r="P68" s="2">
        <f t="shared" si="45"/>
        <v>0</v>
      </c>
    </row>
    <row r="69" spans="1:16" x14ac:dyDescent="0.25">
      <c r="A69" s="22" t="s">
        <v>101</v>
      </c>
      <c r="B69" s="6" t="s">
        <v>102</v>
      </c>
      <c r="C69" s="92">
        <f t="shared" si="46"/>
        <v>1416000</v>
      </c>
      <c r="D69" s="3">
        <f>93000+25000</f>
        <v>118000</v>
      </c>
      <c r="E69" s="3">
        <f t="shared" ref="E69:O69" si="49">93000+25000</f>
        <v>118000</v>
      </c>
      <c r="F69" s="3">
        <f t="shared" si="49"/>
        <v>118000</v>
      </c>
      <c r="G69" s="3">
        <f t="shared" si="49"/>
        <v>118000</v>
      </c>
      <c r="H69" s="3">
        <f t="shared" si="49"/>
        <v>118000</v>
      </c>
      <c r="I69" s="3">
        <f t="shared" si="49"/>
        <v>118000</v>
      </c>
      <c r="J69" s="3">
        <f t="shared" si="49"/>
        <v>118000</v>
      </c>
      <c r="K69" s="3">
        <f t="shared" si="49"/>
        <v>118000</v>
      </c>
      <c r="L69" s="3">
        <f t="shared" si="49"/>
        <v>118000</v>
      </c>
      <c r="M69" s="3">
        <f t="shared" si="49"/>
        <v>118000</v>
      </c>
      <c r="N69" s="3">
        <f t="shared" si="49"/>
        <v>118000</v>
      </c>
      <c r="O69" s="3">
        <f t="shared" si="49"/>
        <v>118000</v>
      </c>
      <c r="P69" s="2">
        <f t="shared" si="45"/>
        <v>0</v>
      </c>
    </row>
    <row r="70" spans="1:16" x14ac:dyDescent="0.25">
      <c r="A70" s="22" t="s">
        <v>103</v>
      </c>
      <c r="B70" s="6" t="s">
        <v>104</v>
      </c>
      <c r="C70" s="92">
        <f t="shared" si="46"/>
        <v>240000</v>
      </c>
      <c r="D70" s="3">
        <v>20000</v>
      </c>
      <c r="E70" s="3">
        <v>20000</v>
      </c>
      <c r="F70" s="3">
        <v>20000</v>
      </c>
      <c r="G70" s="3">
        <v>20000</v>
      </c>
      <c r="H70" s="3">
        <v>20000</v>
      </c>
      <c r="I70" s="3">
        <v>20000</v>
      </c>
      <c r="J70" s="3">
        <v>20000</v>
      </c>
      <c r="K70" s="3">
        <v>20000</v>
      </c>
      <c r="L70" s="3">
        <v>20000</v>
      </c>
      <c r="M70" s="3">
        <v>20000</v>
      </c>
      <c r="N70" s="3">
        <v>20000</v>
      </c>
      <c r="O70" s="3">
        <v>20000</v>
      </c>
      <c r="P70" s="2">
        <f t="shared" si="45"/>
        <v>0</v>
      </c>
    </row>
    <row r="71" spans="1:16" x14ac:dyDescent="0.25">
      <c r="A71" s="22" t="s">
        <v>105</v>
      </c>
      <c r="B71" s="6" t="s">
        <v>226</v>
      </c>
      <c r="C71" s="92">
        <f t="shared" si="46"/>
        <v>540000</v>
      </c>
      <c r="D71" s="3">
        <v>45000</v>
      </c>
      <c r="E71" s="3">
        <v>45000</v>
      </c>
      <c r="F71" s="3">
        <v>45000</v>
      </c>
      <c r="G71" s="3">
        <v>45000</v>
      </c>
      <c r="H71" s="3">
        <v>45000</v>
      </c>
      <c r="I71" s="3">
        <v>45000</v>
      </c>
      <c r="J71" s="3">
        <v>45000</v>
      </c>
      <c r="K71" s="3">
        <v>45000</v>
      </c>
      <c r="L71" s="3">
        <v>45000</v>
      </c>
      <c r="M71" s="3">
        <v>45000</v>
      </c>
      <c r="N71" s="3">
        <v>45000</v>
      </c>
      <c r="O71" s="3">
        <v>45000</v>
      </c>
      <c r="P71" s="2">
        <f t="shared" si="45"/>
        <v>0</v>
      </c>
    </row>
    <row r="72" spans="1:16" x14ac:dyDescent="0.25">
      <c r="A72" s="22" t="s">
        <v>107</v>
      </c>
      <c r="B72" s="6" t="s">
        <v>108</v>
      </c>
      <c r="C72" s="92">
        <f t="shared" si="46"/>
        <v>0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2">
        <f t="shared" si="45"/>
        <v>0</v>
      </c>
    </row>
    <row r="73" spans="1:16" x14ac:dyDescent="0.25">
      <c r="A73" s="22" t="s">
        <v>109</v>
      </c>
      <c r="B73" s="6" t="s">
        <v>110</v>
      </c>
      <c r="C73" s="92">
        <f t="shared" si="46"/>
        <v>1400000</v>
      </c>
      <c r="D73" s="3"/>
      <c r="E73" s="3"/>
      <c r="F73" s="3"/>
      <c r="G73" s="3">
        <f>4000*100</f>
        <v>400000</v>
      </c>
      <c r="H73" s="3"/>
      <c r="I73" s="3"/>
      <c r="J73" s="3"/>
      <c r="K73" s="3"/>
      <c r="L73" s="3"/>
      <c r="M73" s="3"/>
      <c r="N73" s="3"/>
      <c r="O73" s="3">
        <v>1000000</v>
      </c>
      <c r="P73" s="2">
        <f t="shared" si="45"/>
        <v>0</v>
      </c>
    </row>
    <row r="74" spans="1:16" x14ac:dyDescent="0.25">
      <c r="C74" s="93"/>
    </row>
    <row r="75" spans="1:16" x14ac:dyDescent="0.25">
      <c r="A75" s="23" t="s">
        <v>111</v>
      </c>
      <c r="B75" s="14" t="s">
        <v>112</v>
      </c>
      <c r="C75" s="92">
        <f>SUM(C76:C78)</f>
        <v>2788000</v>
      </c>
      <c r="D75" s="4">
        <f t="shared" ref="D75:O75" si="50">SUM(D76:D78)</f>
        <v>8000</v>
      </c>
      <c r="E75" s="4">
        <f t="shared" si="50"/>
        <v>8000</v>
      </c>
      <c r="F75" s="4">
        <f t="shared" si="50"/>
        <v>1500000</v>
      </c>
      <c r="G75" s="4">
        <f t="shared" si="50"/>
        <v>1208000</v>
      </c>
      <c r="H75" s="4">
        <f t="shared" si="50"/>
        <v>8000</v>
      </c>
      <c r="I75" s="4">
        <f t="shared" si="50"/>
        <v>8000</v>
      </c>
      <c r="J75" s="4">
        <f t="shared" si="50"/>
        <v>8000</v>
      </c>
      <c r="K75" s="4">
        <f t="shared" si="50"/>
        <v>8000</v>
      </c>
      <c r="L75" s="4">
        <f t="shared" si="50"/>
        <v>8000</v>
      </c>
      <c r="M75" s="4">
        <f t="shared" si="50"/>
        <v>8000</v>
      </c>
      <c r="N75" s="4">
        <f t="shared" si="50"/>
        <v>8000</v>
      </c>
      <c r="O75" s="4">
        <f t="shared" si="50"/>
        <v>8000</v>
      </c>
      <c r="P75" s="2">
        <f t="shared" ref="P75:P78" si="51">SUM(D75:O75)-C75</f>
        <v>0</v>
      </c>
    </row>
    <row r="76" spans="1:16" x14ac:dyDescent="0.25">
      <c r="A76" s="22" t="s">
        <v>113</v>
      </c>
      <c r="B76" s="6" t="s">
        <v>114</v>
      </c>
      <c r="C76" s="92">
        <f t="shared" ref="C76:C78" si="52">SUM(D76:O76)</f>
        <v>1588000</v>
      </c>
      <c r="D76" s="3">
        <v>8000</v>
      </c>
      <c r="E76" s="3">
        <v>8000</v>
      </c>
      <c r="F76" s="3">
        <v>1500000</v>
      </c>
      <c r="G76" s="3">
        <v>8000</v>
      </c>
      <c r="H76" s="3">
        <v>8000</v>
      </c>
      <c r="I76" s="3">
        <v>8000</v>
      </c>
      <c r="J76" s="3">
        <v>8000</v>
      </c>
      <c r="K76" s="3">
        <v>8000</v>
      </c>
      <c r="L76" s="3">
        <v>8000</v>
      </c>
      <c r="M76" s="3">
        <v>8000</v>
      </c>
      <c r="N76" s="3">
        <v>8000</v>
      </c>
      <c r="O76" s="3">
        <v>8000</v>
      </c>
      <c r="P76" s="2">
        <f t="shared" si="51"/>
        <v>0</v>
      </c>
    </row>
    <row r="77" spans="1:16" x14ac:dyDescent="0.25">
      <c r="A77" s="22" t="s">
        <v>115</v>
      </c>
      <c r="B77" s="6" t="s">
        <v>116</v>
      </c>
      <c r="C77" s="92">
        <f t="shared" si="52"/>
        <v>0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2">
        <f t="shared" si="51"/>
        <v>0</v>
      </c>
    </row>
    <row r="78" spans="1:16" x14ac:dyDescent="0.25">
      <c r="A78" s="22" t="s">
        <v>117</v>
      </c>
      <c r="B78" s="6" t="s">
        <v>24</v>
      </c>
      <c r="C78" s="92">
        <f t="shared" si="52"/>
        <v>1200000</v>
      </c>
      <c r="D78" s="3"/>
      <c r="E78" s="3"/>
      <c r="F78" s="3"/>
      <c r="G78" s="3">
        <v>1200000</v>
      </c>
      <c r="H78" s="3"/>
      <c r="I78" s="3"/>
      <c r="J78" s="3"/>
      <c r="K78" s="3"/>
      <c r="L78" s="3"/>
      <c r="M78" s="3"/>
      <c r="N78" s="3"/>
      <c r="O78" s="3"/>
      <c r="P78" s="2">
        <f t="shared" si="51"/>
        <v>0</v>
      </c>
    </row>
    <row r="79" spans="1:16" x14ac:dyDescent="0.25">
      <c r="C79" s="93"/>
    </row>
    <row r="80" spans="1:16" x14ac:dyDescent="0.25">
      <c r="A80" s="23" t="s">
        <v>118</v>
      </c>
      <c r="B80" s="14" t="s">
        <v>182</v>
      </c>
      <c r="C80" s="92">
        <f>SUM(C81:C83)</f>
        <v>340000</v>
      </c>
      <c r="D80" s="4">
        <f t="shared" ref="D80:O80" si="53">SUM(D81:D83)</f>
        <v>0</v>
      </c>
      <c r="E80" s="4">
        <f t="shared" si="53"/>
        <v>60000</v>
      </c>
      <c r="F80" s="4">
        <f t="shared" si="53"/>
        <v>100000</v>
      </c>
      <c r="G80" s="4">
        <f t="shared" si="53"/>
        <v>0</v>
      </c>
      <c r="H80" s="4">
        <f t="shared" si="53"/>
        <v>0</v>
      </c>
      <c r="I80" s="4">
        <f t="shared" si="53"/>
        <v>60000</v>
      </c>
      <c r="J80" s="4">
        <f t="shared" si="53"/>
        <v>0</v>
      </c>
      <c r="K80" s="4">
        <f t="shared" si="53"/>
        <v>0</v>
      </c>
      <c r="L80" s="4">
        <f t="shared" si="53"/>
        <v>60000</v>
      </c>
      <c r="M80" s="4">
        <f t="shared" si="53"/>
        <v>0</v>
      </c>
      <c r="N80" s="4">
        <f t="shared" si="53"/>
        <v>0</v>
      </c>
      <c r="O80" s="4">
        <f t="shared" si="53"/>
        <v>60000</v>
      </c>
      <c r="P80" s="2">
        <f t="shared" ref="P80:P83" si="54">SUM(D80:O80)-C80</f>
        <v>0</v>
      </c>
    </row>
    <row r="81" spans="1:16" x14ac:dyDescent="0.25">
      <c r="A81" s="22" t="s">
        <v>120</v>
      </c>
      <c r="B81" s="6" t="s">
        <v>86</v>
      </c>
      <c r="C81" s="92">
        <f t="shared" ref="C81:C83" si="55">SUM(D81:O81)</f>
        <v>100000</v>
      </c>
      <c r="D81" s="3"/>
      <c r="E81" s="3"/>
      <c r="F81" s="3">
        <v>100000</v>
      </c>
      <c r="G81" s="3"/>
      <c r="H81" s="3"/>
      <c r="I81" s="3"/>
      <c r="J81" s="3"/>
      <c r="K81" s="3"/>
      <c r="L81" s="3"/>
      <c r="M81" s="3"/>
      <c r="N81" s="3"/>
      <c r="O81" s="3"/>
      <c r="P81" s="2">
        <f t="shared" si="54"/>
        <v>0</v>
      </c>
    </row>
    <row r="82" spans="1:16" x14ac:dyDescent="0.25">
      <c r="A82" s="22" t="s">
        <v>121</v>
      </c>
      <c r="B82" s="6" t="s">
        <v>122</v>
      </c>
      <c r="C82" s="92">
        <f t="shared" si="55"/>
        <v>0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2">
        <f t="shared" si="54"/>
        <v>0</v>
      </c>
    </row>
    <row r="83" spans="1:16" x14ac:dyDescent="0.25">
      <c r="A83" s="22" t="s">
        <v>123</v>
      </c>
      <c r="B83" s="6" t="s">
        <v>124</v>
      </c>
      <c r="C83" s="92">
        <f t="shared" si="55"/>
        <v>240000</v>
      </c>
      <c r="D83" s="3"/>
      <c r="E83" s="3">
        <v>60000</v>
      </c>
      <c r="F83" s="3"/>
      <c r="G83" s="3"/>
      <c r="H83" s="3"/>
      <c r="I83" s="3">
        <v>60000</v>
      </c>
      <c r="J83" s="3"/>
      <c r="K83" s="3"/>
      <c r="L83" s="3">
        <v>60000</v>
      </c>
      <c r="M83" s="3"/>
      <c r="N83" s="3"/>
      <c r="O83" s="3">
        <v>60000</v>
      </c>
      <c r="P83" s="2">
        <f t="shared" si="54"/>
        <v>0</v>
      </c>
    </row>
    <row r="84" spans="1:16" x14ac:dyDescent="0.25">
      <c r="C84" s="93"/>
    </row>
    <row r="85" spans="1:16" x14ac:dyDescent="0.25">
      <c r="A85" s="23" t="s">
        <v>125</v>
      </c>
      <c r="B85" s="14" t="s">
        <v>126</v>
      </c>
      <c r="C85" s="92">
        <f>SUM(C86:C89)</f>
        <v>9045168</v>
      </c>
      <c r="D85" s="4">
        <f t="shared" ref="D85:O85" si="56">SUM(D86:D89)</f>
        <v>753764</v>
      </c>
      <c r="E85" s="4">
        <f t="shared" si="56"/>
        <v>753764</v>
      </c>
      <c r="F85" s="4">
        <f t="shared" si="56"/>
        <v>753764</v>
      </c>
      <c r="G85" s="4">
        <f t="shared" si="56"/>
        <v>753764</v>
      </c>
      <c r="H85" s="4">
        <f t="shared" si="56"/>
        <v>753764</v>
      </c>
      <c r="I85" s="4">
        <f t="shared" si="56"/>
        <v>753764</v>
      </c>
      <c r="J85" s="4">
        <f t="shared" si="56"/>
        <v>753764</v>
      </c>
      <c r="K85" s="4">
        <f t="shared" si="56"/>
        <v>753764</v>
      </c>
      <c r="L85" s="4">
        <f t="shared" si="56"/>
        <v>753764</v>
      </c>
      <c r="M85" s="4">
        <f t="shared" si="56"/>
        <v>753764</v>
      </c>
      <c r="N85" s="4">
        <f t="shared" si="56"/>
        <v>753764</v>
      </c>
      <c r="O85" s="4">
        <f t="shared" si="56"/>
        <v>753764</v>
      </c>
      <c r="P85" s="2">
        <f t="shared" ref="P85:P89" si="57">SUM(D85:O85)-C85</f>
        <v>0</v>
      </c>
    </row>
    <row r="86" spans="1:16" x14ac:dyDescent="0.25">
      <c r="A86" s="22" t="s">
        <v>127</v>
      </c>
      <c r="B86" s="6" t="s">
        <v>86</v>
      </c>
      <c r="C86" s="92">
        <f t="shared" ref="C86:C89" si="58">SUM(D86:O86)</f>
        <v>0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2">
        <f t="shared" si="57"/>
        <v>0</v>
      </c>
    </row>
    <row r="87" spans="1:16" x14ac:dyDescent="0.25">
      <c r="A87" s="22" t="s">
        <v>128</v>
      </c>
      <c r="B87" s="6" t="s">
        <v>129</v>
      </c>
      <c r="C87" s="92">
        <f t="shared" si="58"/>
        <v>117000</v>
      </c>
      <c r="D87" s="3">
        <v>9750</v>
      </c>
      <c r="E87" s="3">
        <v>9750</v>
      </c>
      <c r="F87" s="3">
        <v>9750</v>
      </c>
      <c r="G87" s="3">
        <v>9750</v>
      </c>
      <c r="H87" s="3">
        <v>9750</v>
      </c>
      <c r="I87" s="3">
        <v>9750</v>
      </c>
      <c r="J87" s="3">
        <v>9750</v>
      </c>
      <c r="K87" s="3">
        <v>9750</v>
      </c>
      <c r="L87" s="3">
        <v>9750</v>
      </c>
      <c r="M87" s="3">
        <v>9750</v>
      </c>
      <c r="N87" s="3">
        <v>9750</v>
      </c>
      <c r="O87" s="3">
        <v>9750</v>
      </c>
      <c r="P87" s="2">
        <f t="shared" si="57"/>
        <v>0</v>
      </c>
    </row>
    <row r="88" spans="1:16" x14ac:dyDescent="0.25">
      <c r="A88" s="22" t="s">
        <v>130</v>
      </c>
      <c r="B88" s="6" t="s">
        <v>124</v>
      </c>
      <c r="C88" s="92">
        <f t="shared" si="58"/>
        <v>922020</v>
      </c>
      <c r="D88" s="3">
        <v>76835</v>
      </c>
      <c r="E88" s="3">
        <v>76835</v>
      </c>
      <c r="F88" s="3">
        <v>76835</v>
      </c>
      <c r="G88" s="3">
        <v>76835</v>
      </c>
      <c r="H88" s="3">
        <v>76835</v>
      </c>
      <c r="I88" s="3">
        <v>76835</v>
      </c>
      <c r="J88" s="3">
        <v>76835</v>
      </c>
      <c r="K88" s="3">
        <v>76835</v>
      </c>
      <c r="L88" s="3">
        <v>76835</v>
      </c>
      <c r="M88" s="3">
        <v>76835</v>
      </c>
      <c r="N88" s="3">
        <v>76835</v>
      </c>
      <c r="O88" s="3">
        <v>76835</v>
      </c>
      <c r="P88" s="2">
        <f t="shared" si="57"/>
        <v>0</v>
      </c>
    </row>
    <row r="89" spans="1:16" x14ac:dyDescent="0.25">
      <c r="A89" s="22" t="s">
        <v>131</v>
      </c>
      <c r="B89" s="6" t="s">
        <v>132</v>
      </c>
      <c r="C89" s="92">
        <f t="shared" si="58"/>
        <v>8006148</v>
      </c>
      <c r="D89" s="3">
        <v>667179</v>
      </c>
      <c r="E89" s="3">
        <v>667179</v>
      </c>
      <c r="F89" s="3">
        <v>667179</v>
      </c>
      <c r="G89" s="3">
        <v>667179</v>
      </c>
      <c r="H89" s="3">
        <v>667179</v>
      </c>
      <c r="I89" s="3">
        <v>667179</v>
      </c>
      <c r="J89" s="3">
        <v>667179</v>
      </c>
      <c r="K89" s="3">
        <v>667179</v>
      </c>
      <c r="L89" s="3">
        <v>667179</v>
      </c>
      <c r="M89" s="3">
        <v>667179</v>
      </c>
      <c r="N89" s="3">
        <v>667179</v>
      </c>
      <c r="O89" s="3">
        <v>667179</v>
      </c>
      <c r="P89" s="2">
        <f t="shared" si="57"/>
        <v>0</v>
      </c>
    </row>
    <row r="90" spans="1:16" x14ac:dyDescent="0.25">
      <c r="C90" s="93"/>
    </row>
    <row r="91" spans="1:16" x14ac:dyDescent="0.25">
      <c r="A91" s="26" t="s">
        <v>133</v>
      </c>
      <c r="B91" s="14" t="s">
        <v>30</v>
      </c>
      <c r="C91" s="92">
        <f>SUM(C92:C97)</f>
        <v>3000000</v>
      </c>
      <c r="D91" s="4">
        <f t="shared" ref="D91:O91" si="59">SUM(D92:D97)</f>
        <v>250000</v>
      </c>
      <c r="E91" s="4">
        <f t="shared" si="59"/>
        <v>250000</v>
      </c>
      <c r="F91" s="4">
        <f t="shared" si="59"/>
        <v>250000</v>
      </c>
      <c r="G91" s="4">
        <f t="shared" si="59"/>
        <v>250000</v>
      </c>
      <c r="H91" s="4">
        <f t="shared" si="59"/>
        <v>250000</v>
      </c>
      <c r="I91" s="4">
        <f t="shared" si="59"/>
        <v>250000</v>
      </c>
      <c r="J91" s="4">
        <f t="shared" si="59"/>
        <v>250000</v>
      </c>
      <c r="K91" s="4">
        <f t="shared" si="59"/>
        <v>250000</v>
      </c>
      <c r="L91" s="4">
        <f t="shared" si="59"/>
        <v>250000</v>
      </c>
      <c r="M91" s="4">
        <f t="shared" si="59"/>
        <v>250000</v>
      </c>
      <c r="N91" s="4">
        <f t="shared" si="59"/>
        <v>250000</v>
      </c>
      <c r="O91" s="4">
        <f t="shared" si="59"/>
        <v>250000</v>
      </c>
      <c r="P91" s="2">
        <f t="shared" ref="P91:P102" si="60">SUM(D91:O91)-C91</f>
        <v>0</v>
      </c>
    </row>
    <row r="92" spans="1:16" x14ac:dyDescent="0.25">
      <c r="A92" s="21" t="s">
        <v>134</v>
      </c>
      <c r="B92" s="6" t="s">
        <v>228</v>
      </c>
      <c r="C92" s="92">
        <f t="shared" ref="C92:C97" si="61">SUM(D92:O92)</f>
        <v>720000</v>
      </c>
      <c r="D92" s="3">
        <v>60000</v>
      </c>
      <c r="E92" s="3">
        <v>60000</v>
      </c>
      <c r="F92" s="3">
        <v>60000</v>
      </c>
      <c r="G92" s="3">
        <v>60000</v>
      </c>
      <c r="H92" s="3">
        <v>60000</v>
      </c>
      <c r="I92" s="3">
        <v>60000</v>
      </c>
      <c r="J92" s="3">
        <v>60000</v>
      </c>
      <c r="K92" s="3">
        <v>60000</v>
      </c>
      <c r="L92" s="3">
        <v>60000</v>
      </c>
      <c r="M92" s="3">
        <v>60000</v>
      </c>
      <c r="N92" s="3">
        <v>60000</v>
      </c>
      <c r="O92" s="3">
        <v>60000</v>
      </c>
      <c r="P92" s="2">
        <f t="shared" si="60"/>
        <v>0</v>
      </c>
    </row>
    <row r="93" spans="1:16" x14ac:dyDescent="0.25">
      <c r="A93" s="21" t="s">
        <v>136</v>
      </c>
      <c r="B93" s="6" t="s">
        <v>137</v>
      </c>
      <c r="C93" s="92">
        <f t="shared" si="61"/>
        <v>240000</v>
      </c>
      <c r="D93" s="3">
        <v>20000</v>
      </c>
      <c r="E93" s="3">
        <v>20000</v>
      </c>
      <c r="F93" s="3">
        <v>20000</v>
      </c>
      <c r="G93" s="3">
        <v>20000</v>
      </c>
      <c r="H93" s="3">
        <v>20000</v>
      </c>
      <c r="I93" s="3">
        <v>20000</v>
      </c>
      <c r="J93" s="3">
        <v>20000</v>
      </c>
      <c r="K93" s="3">
        <v>20000</v>
      </c>
      <c r="L93" s="3">
        <v>20000</v>
      </c>
      <c r="M93" s="3">
        <v>20000</v>
      </c>
      <c r="N93" s="3">
        <v>20000</v>
      </c>
      <c r="O93" s="3">
        <v>20000</v>
      </c>
      <c r="P93" s="2">
        <f t="shared" si="60"/>
        <v>0</v>
      </c>
    </row>
    <row r="94" spans="1:16" x14ac:dyDescent="0.25">
      <c r="A94" s="21" t="s">
        <v>138</v>
      </c>
      <c r="B94" s="6" t="s">
        <v>139</v>
      </c>
      <c r="C94" s="92">
        <f t="shared" si="61"/>
        <v>960000</v>
      </c>
      <c r="D94" s="3">
        <v>80000</v>
      </c>
      <c r="E94" s="3">
        <v>80000</v>
      </c>
      <c r="F94" s="3">
        <v>80000</v>
      </c>
      <c r="G94" s="3">
        <v>80000</v>
      </c>
      <c r="H94" s="3">
        <v>80000</v>
      </c>
      <c r="I94" s="3">
        <v>80000</v>
      </c>
      <c r="J94" s="3">
        <v>80000</v>
      </c>
      <c r="K94" s="3">
        <v>80000</v>
      </c>
      <c r="L94" s="3">
        <v>80000</v>
      </c>
      <c r="M94" s="3">
        <v>80000</v>
      </c>
      <c r="N94" s="3">
        <v>80000</v>
      </c>
      <c r="O94" s="3">
        <v>80000</v>
      </c>
      <c r="P94" s="2">
        <f t="shared" si="60"/>
        <v>0</v>
      </c>
    </row>
    <row r="95" spans="1:16" x14ac:dyDescent="0.25">
      <c r="A95" s="21" t="s">
        <v>140</v>
      </c>
      <c r="B95" s="6" t="s">
        <v>141</v>
      </c>
      <c r="C95" s="92">
        <f t="shared" si="61"/>
        <v>840000</v>
      </c>
      <c r="D95" s="3">
        <v>70000</v>
      </c>
      <c r="E95" s="3">
        <v>70000</v>
      </c>
      <c r="F95" s="3">
        <v>70000</v>
      </c>
      <c r="G95" s="3">
        <v>70000</v>
      </c>
      <c r="H95" s="3">
        <v>70000</v>
      </c>
      <c r="I95" s="3">
        <v>70000</v>
      </c>
      <c r="J95" s="3">
        <v>70000</v>
      </c>
      <c r="K95" s="3">
        <v>70000</v>
      </c>
      <c r="L95" s="3">
        <v>70000</v>
      </c>
      <c r="M95" s="3">
        <v>70000</v>
      </c>
      <c r="N95" s="3">
        <v>70000</v>
      </c>
      <c r="O95" s="3">
        <v>70000</v>
      </c>
      <c r="P95" s="2">
        <f t="shared" si="60"/>
        <v>0</v>
      </c>
    </row>
    <row r="96" spans="1:16" x14ac:dyDescent="0.25">
      <c r="A96" s="21" t="s">
        <v>142</v>
      </c>
      <c r="B96" s="6" t="s">
        <v>143</v>
      </c>
      <c r="C96" s="92">
        <f t="shared" si="61"/>
        <v>240000</v>
      </c>
      <c r="D96" s="3">
        <v>20000</v>
      </c>
      <c r="E96" s="3">
        <v>20000</v>
      </c>
      <c r="F96" s="3">
        <v>20000</v>
      </c>
      <c r="G96" s="3">
        <v>20000</v>
      </c>
      <c r="H96" s="3">
        <v>20000</v>
      </c>
      <c r="I96" s="3">
        <v>20000</v>
      </c>
      <c r="J96" s="3">
        <v>20000</v>
      </c>
      <c r="K96" s="3">
        <v>20000</v>
      </c>
      <c r="L96" s="3">
        <v>20000</v>
      </c>
      <c r="M96" s="3">
        <v>20000</v>
      </c>
      <c r="N96" s="3">
        <v>20000</v>
      </c>
      <c r="O96" s="3">
        <v>20000</v>
      </c>
      <c r="P96" s="2">
        <f t="shared" si="60"/>
        <v>0</v>
      </c>
    </row>
    <row r="97" spans="1:16" x14ac:dyDescent="0.25">
      <c r="A97" s="21" t="s">
        <v>144</v>
      </c>
      <c r="B97" s="6" t="s">
        <v>145</v>
      </c>
      <c r="C97" s="92">
        <f t="shared" si="61"/>
        <v>0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2">
        <f t="shared" si="60"/>
        <v>0</v>
      </c>
    </row>
    <row r="98" spans="1:16" x14ac:dyDescent="0.25">
      <c r="C98" s="93"/>
    </row>
    <row r="99" spans="1:16" x14ac:dyDescent="0.25">
      <c r="A99" s="25" t="s">
        <v>146</v>
      </c>
      <c r="B99" s="19" t="s">
        <v>16</v>
      </c>
      <c r="C99" s="93">
        <f>+C101+C106+C109</f>
        <v>2627000</v>
      </c>
      <c r="D99" s="20">
        <f t="shared" ref="D99:O99" si="62">+D101+D106+D109</f>
        <v>130000</v>
      </c>
      <c r="E99" s="20">
        <f t="shared" si="62"/>
        <v>227000</v>
      </c>
      <c r="F99" s="20">
        <f t="shared" si="62"/>
        <v>227000</v>
      </c>
      <c r="G99" s="20">
        <f t="shared" si="62"/>
        <v>227000</v>
      </c>
      <c r="H99" s="20">
        <f t="shared" si="62"/>
        <v>227000</v>
      </c>
      <c r="I99" s="20">
        <f t="shared" si="62"/>
        <v>227000</v>
      </c>
      <c r="J99" s="20">
        <f t="shared" si="62"/>
        <v>227000</v>
      </c>
      <c r="K99" s="20">
        <f t="shared" si="62"/>
        <v>227000</v>
      </c>
      <c r="L99" s="20">
        <f t="shared" si="62"/>
        <v>227000</v>
      </c>
      <c r="M99" s="20">
        <f t="shared" si="62"/>
        <v>227000</v>
      </c>
      <c r="N99" s="20">
        <f t="shared" si="62"/>
        <v>227000</v>
      </c>
      <c r="O99" s="20">
        <f t="shared" si="62"/>
        <v>227000</v>
      </c>
      <c r="P99" s="2">
        <f t="shared" si="60"/>
        <v>0</v>
      </c>
    </row>
    <row r="100" spans="1:16" x14ac:dyDescent="0.25">
      <c r="C100" s="9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</row>
    <row r="101" spans="1:16" x14ac:dyDescent="0.25">
      <c r="A101" s="23" t="s">
        <v>147</v>
      </c>
      <c r="B101" s="14" t="s">
        <v>18</v>
      </c>
      <c r="C101" s="92">
        <f>SUM(C102:C104)</f>
        <v>2627000</v>
      </c>
      <c r="D101" s="4">
        <f t="shared" ref="D101:O101" si="63">SUM(D102:D104)</f>
        <v>130000</v>
      </c>
      <c r="E101" s="4">
        <f t="shared" si="63"/>
        <v>227000</v>
      </c>
      <c r="F101" s="4">
        <f t="shared" si="63"/>
        <v>227000</v>
      </c>
      <c r="G101" s="4">
        <f t="shared" si="63"/>
        <v>227000</v>
      </c>
      <c r="H101" s="4">
        <f t="shared" si="63"/>
        <v>227000</v>
      </c>
      <c r="I101" s="4">
        <f t="shared" si="63"/>
        <v>227000</v>
      </c>
      <c r="J101" s="4">
        <f t="shared" si="63"/>
        <v>227000</v>
      </c>
      <c r="K101" s="4">
        <f t="shared" si="63"/>
        <v>227000</v>
      </c>
      <c r="L101" s="4">
        <f t="shared" si="63"/>
        <v>227000</v>
      </c>
      <c r="M101" s="4">
        <f t="shared" si="63"/>
        <v>227000</v>
      </c>
      <c r="N101" s="4">
        <f t="shared" si="63"/>
        <v>227000</v>
      </c>
      <c r="O101" s="4">
        <f t="shared" si="63"/>
        <v>227000</v>
      </c>
      <c r="P101" s="2">
        <f t="shared" si="60"/>
        <v>0</v>
      </c>
    </row>
    <row r="102" spans="1:16" x14ac:dyDescent="0.25">
      <c r="A102" s="22" t="s">
        <v>148</v>
      </c>
      <c r="B102" s="6" t="s">
        <v>230</v>
      </c>
      <c r="C102" s="92">
        <f t="shared" ref="C102:C104" si="64">SUM(D102:O102)</f>
        <v>960000</v>
      </c>
      <c r="D102" s="3">
        <v>80000</v>
      </c>
      <c r="E102" s="3">
        <v>80000</v>
      </c>
      <c r="F102" s="3">
        <v>80000</v>
      </c>
      <c r="G102" s="3">
        <v>80000</v>
      </c>
      <c r="H102" s="3">
        <v>80000</v>
      </c>
      <c r="I102" s="3">
        <v>80000</v>
      </c>
      <c r="J102" s="3">
        <v>80000</v>
      </c>
      <c r="K102" s="3">
        <v>80000</v>
      </c>
      <c r="L102" s="3">
        <v>80000</v>
      </c>
      <c r="M102" s="3">
        <v>80000</v>
      </c>
      <c r="N102" s="3">
        <v>80000</v>
      </c>
      <c r="O102" s="3">
        <v>80000</v>
      </c>
      <c r="P102" s="2">
        <f t="shared" si="60"/>
        <v>0</v>
      </c>
    </row>
    <row r="103" spans="1:16" x14ac:dyDescent="0.25">
      <c r="A103" s="22" t="s">
        <v>150</v>
      </c>
      <c r="B103" s="6" t="s">
        <v>151</v>
      </c>
      <c r="C103" s="92">
        <f t="shared" si="64"/>
        <v>1667000</v>
      </c>
      <c r="D103" s="3">
        <v>50000</v>
      </c>
      <c r="E103" s="3">
        <f t="shared" ref="E103:O103" si="65">1000*147</f>
        <v>147000</v>
      </c>
      <c r="F103" s="3">
        <f t="shared" si="65"/>
        <v>147000</v>
      </c>
      <c r="G103" s="3">
        <f t="shared" si="65"/>
        <v>147000</v>
      </c>
      <c r="H103" s="3">
        <f t="shared" si="65"/>
        <v>147000</v>
      </c>
      <c r="I103" s="3">
        <f t="shared" si="65"/>
        <v>147000</v>
      </c>
      <c r="J103" s="3">
        <f t="shared" si="65"/>
        <v>147000</v>
      </c>
      <c r="K103" s="3">
        <f t="shared" si="65"/>
        <v>147000</v>
      </c>
      <c r="L103" s="3">
        <f t="shared" si="65"/>
        <v>147000</v>
      </c>
      <c r="M103" s="3">
        <f t="shared" si="65"/>
        <v>147000</v>
      </c>
      <c r="N103" s="3">
        <f t="shared" si="65"/>
        <v>147000</v>
      </c>
      <c r="O103" s="3">
        <f t="shared" si="65"/>
        <v>147000</v>
      </c>
    </row>
    <row r="104" spans="1:16" x14ac:dyDescent="0.25">
      <c r="A104" s="22" t="s">
        <v>152</v>
      </c>
      <c r="B104" s="6" t="s">
        <v>24</v>
      </c>
      <c r="C104" s="92">
        <f t="shared" si="64"/>
        <v>0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6" x14ac:dyDescent="0.25">
      <c r="C105" s="93"/>
    </row>
    <row r="106" spans="1:16" x14ac:dyDescent="0.25">
      <c r="A106" s="23" t="s">
        <v>153</v>
      </c>
      <c r="B106" s="14" t="s">
        <v>154</v>
      </c>
      <c r="C106" s="92">
        <f>+C107</f>
        <v>0</v>
      </c>
      <c r="D106" s="4">
        <f t="shared" ref="D106:O106" si="66">+D107</f>
        <v>0</v>
      </c>
      <c r="E106" s="4">
        <f t="shared" si="66"/>
        <v>0</v>
      </c>
      <c r="F106" s="4">
        <f t="shared" si="66"/>
        <v>0</v>
      </c>
      <c r="G106" s="4">
        <f t="shared" si="66"/>
        <v>0</v>
      </c>
      <c r="H106" s="4">
        <f t="shared" si="66"/>
        <v>0</v>
      </c>
      <c r="I106" s="4">
        <f t="shared" si="66"/>
        <v>0</v>
      </c>
      <c r="J106" s="4">
        <f t="shared" si="66"/>
        <v>0</v>
      </c>
      <c r="K106" s="4">
        <f t="shared" si="66"/>
        <v>0</v>
      </c>
      <c r="L106" s="4">
        <f t="shared" si="66"/>
        <v>0</v>
      </c>
      <c r="M106" s="4">
        <f t="shared" si="66"/>
        <v>0</v>
      </c>
      <c r="N106" s="4">
        <f t="shared" si="66"/>
        <v>0</v>
      </c>
      <c r="O106" s="4">
        <f t="shared" si="66"/>
        <v>0</v>
      </c>
    </row>
    <row r="107" spans="1:16" x14ac:dyDescent="0.25">
      <c r="A107" s="22" t="s">
        <v>155</v>
      </c>
      <c r="B107" s="6" t="s">
        <v>156</v>
      </c>
      <c r="C107" s="92">
        <f t="shared" ref="C107" si="67">SUM(D107:O107)</f>
        <v>0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6" x14ac:dyDescent="0.25">
      <c r="C108" s="93"/>
    </row>
    <row r="109" spans="1:16" x14ac:dyDescent="0.25">
      <c r="A109" s="23" t="s">
        <v>157</v>
      </c>
      <c r="B109" s="14" t="s">
        <v>158</v>
      </c>
      <c r="C109" s="92">
        <f>+C110</f>
        <v>0</v>
      </c>
      <c r="D109" s="4">
        <f t="shared" ref="D109:O109" si="68">+D110</f>
        <v>0</v>
      </c>
      <c r="E109" s="4">
        <f t="shared" si="68"/>
        <v>0</v>
      </c>
      <c r="F109" s="4">
        <f t="shared" si="68"/>
        <v>0</v>
      </c>
      <c r="G109" s="4">
        <f t="shared" si="68"/>
        <v>0</v>
      </c>
      <c r="H109" s="4">
        <f t="shared" si="68"/>
        <v>0</v>
      </c>
      <c r="I109" s="4">
        <f t="shared" si="68"/>
        <v>0</v>
      </c>
      <c r="J109" s="4">
        <f t="shared" si="68"/>
        <v>0</v>
      </c>
      <c r="K109" s="4">
        <f t="shared" si="68"/>
        <v>0</v>
      </c>
      <c r="L109" s="4">
        <f t="shared" si="68"/>
        <v>0</v>
      </c>
      <c r="M109" s="4">
        <f t="shared" si="68"/>
        <v>0</v>
      </c>
      <c r="N109" s="4">
        <f t="shared" si="68"/>
        <v>0</v>
      </c>
      <c r="O109" s="4">
        <f t="shared" si="68"/>
        <v>0</v>
      </c>
    </row>
    <row r="110" spans="1:16" x14ac:dyDescent="0.25">
      <c r="A110" s="22" t="s">
        <v>159</v>
      </c>
      <c r="B110" s="6" t="s">
        <v>160</v>
      </c>
      <c r="C110" s="92">
        <f t="shared" ref="C110" si="69">SUM(D110:O110)</f>
        <v>0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6" x14ac:dyDescent="0.25">
      <c r="C111" s="93"/>
    </row>
    <row r="113" spans="1:17" s="37" customFormat="1" x14ac:dyDescent="0.25">
      <c r="A113" s="38"/>
      <c r="C113" s="93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</row>
    <row r="117" spans="1:17" x14ac:dyDescent="0.25">
      <c r="C117" s="93"/>
    </row>
    <row r="118" spans="1:17" x14ac:dyDescent="0.25">
      <c r="C118" s="93"/>
    </row>
    <row r="119" spans="1:17" x14ac:dyDescent="0.25">
      <c r="A119" s="24" t="s">
        <v>167</v>
      </c>
      <c r="B119" s="17" t="s">
        <v>168</v>
      </c>
      <c r="C119" s="93">
        <f>+C121</f>
        <v>28904363.158833332</v>
      </c>
      <c r="D119" s="18">
        <f t="shared" ref="D119:O119" si="70">+D121</f>
        <v>1736172.7978333333</v>
      </c>
      <c r="E119" s="18">
        <f t="shared" si="70"/>
        <v>2536785.5956666665</v>
      </c>
      <c r="F119" s="18">
        <f t="shared" si="70"/>
        <v>3608785.5956666665</v>
      </c>
      <c r="G119" s="18">
        <f t="shared" si="70"/>
        <v>2536785.5956666665</v>
      </c>
      <c r="H119" s="18">
        <f t="shared" si="70"/>
        <v>2536785.5956666665</v>
      </c>
      <c r="I119" s="18">
        <f t="shared" si="70"/>
        <v>2783785.5956666665</v>
      </c>
      <c r="J119" s="18">
        <f t="shared" si="70"/>
        <v>510560</v>
      </c>
      <c r="K119" s="18">
        <f t="shared" si="70"/>
        <v>1335560</v>
      </c>
      <c r="L119" s="18">
        <f t="shared" si="70"/>
        <v>2561785.5956666665</v>
      </c>
      <c r="M119" s="18">
        <f t="shared" si="70"/>
        <v>3633785.5956666665</v>
      </c>
      <c r="N119" s="18">
        <f t="shared" si="70"/>
        <v>2561785.5956666665</v>
      </c>
      <c r="O119" s="18">
        <f t="shared" si="70"/>
        <v>2561785.5956666665</v>
      </c>
    </row>
    <row r="120" spans="1:17" x14ac:dyDescent="0.25">
      <c r="C120" s="9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</row>
    <row r="121" spans="1:17" x14ac:dyDescent="0.25">
      <c r="A121" s="25" t="s">
        <v>169</v>
      </c>
      <c r="B121" s="19" t="s">
        <v>170</v>
      </c>
      <c r="C121" s="93">
        <f>+C123+C126</f>
        <v>28904363.158833332</v>
      </c>
      <c r="D121" s="20">
        <f t="shared" ref="D121:O121" si="71">+D123+D126</f>
        <v>1736172.7978333333</v>
      </c>
      <c r="E121" s="20">
        <f t="shared" si="71"/>
        <v>2536785.5956666665</v>
      </c>
      <c r="F121" s="20">
        <f t="shared" si="71"/>
        <v>3608785.5956666665</v>
      </c>
      <c r="G121" s="20">
        <f t="shared" si="71"/>
        <v>2536785.5956666665</v>
      </c>
      <c r="H121" s="20">
        <f t="shared" si="71"/>
        <v>2536785.5956666665</v>
      </c>
      <c r="I121" s="20">
        <f t="shared" si="71"/>
        <v>2783785.5956666665</v>
      </c>
      <c r="J121" s="20">
        <f t="shared" si="71"/>
        <v>510560</v>
      </c>
      <c r="K121" s="20">
        <f t="shared" si="71"/>
        <v>1335560</v>
      </c>
      <c r="L121" s="20">
        <f t="shared" si="71"/>
        <v>2561785.5956666665</v>
      </c>
      <c r="M121" s="20">
        <f t="shared" si="71"/>
        <v>3633785.5956666665</v>
      </c>
      <c r="N121" s="20">
        <f t="shared" si="71"/>
        <v>2561785.5956666665</v>
      </c>
      <c r="O121" s="20">
        <f t="shared" si="71"/>
        <v>2561785.5956666665</v>
      </c>
    </row>
    <row r="122" spans="1:17" x14ac:dyDescent="0.25">
      <c r="C122" s="93"/>
    </row>
    <row r="123" spans="1:17" x14ac:dyDescent="0.25">
      <c r="A123" s="26" t="s">
        <v>171</v>
      </c>
      <c r="B123" s="16" t="s">
        <v>172</v>
      </c>
      <c r="C123" s="93"/>
    </row>
    <row r="124" spans="1:17" x14ac:dyDescent="0.25">
      <c r="A124" s="21" t="s">
        <v>173</v>
      </c>
      <c r="B124" t="s">
        <v>174</v>
      </c>
      <c r="C124" s="93"/>
    </row>
    <row r="125" spans="1:17" x14ac:dyDescent="0.25">
      <c r="C125" s="93"/>
    </row>
    <row r="126" spans="1:17" x14ac:dyDescent="0.25">
      <c r="A126" s="26" t="s">
        <v>175</v>
      </c>
      <c r="B126" s="14" t="s">
        <v>176</v>
      </c>
      <c r="C126" s="92">
        <f>SUM(C127:C145)</f>
        <v>28904363.158833332</v>
      </c>
      <c r="D126" s="4">
        <f t="shared" ref="D126:O126" si="72">SUM(D127:D145)</f>
        <v>1736172.7978333333</v>
      </c>
      <c r="E126" s="4">
        <f t="shared" si="72"/>
        <v>2536785.5956666665</v>
      </c>
      <c r="F126" s="4">
        <f t="shared" si="72"/>
        <v>3608785.5956666665</v>
      </c>
      <c r="G126" s="4">
        <f t="shared" si="72"/>
        <v>2536785.5956666665</v>
      </c>
      <c r="H126" s="4">
        <f t="shared" si="72"/>
        <v>2536785.5956666665</v>
      </c>
      <c r="I126" s="4">
        <f t="shared" si="72"/>
        <v>2783785.5956666665</v>
      </c>
      <c r="J126" s="4">
        <f t="shared" si="72"/>
        <v>510560</v>
      </c>
      <c r="K126" s="4">
        <f t="shared" si="72"/>
        <v>1335560</v>
      </c>
      <c r="L126" s="4">
        <f t="shared" si="72"/>
        <v>2561785.5956666665</v>
      </c>
      <c r="M126" s="4">
        <f t="shared" si="72"/>
        <v>3633785.5956666665</v>
      </c>
      <c r="N126" s="4">
        <f t="shared" si="72"/>
        <v>2561785.5956666665</v>
      </c>
      <c r="O126" s="4">
        <f t="shared" si="72"/>
        <v>2561785.5956666665</v>
      </c>
    </row>
    <row r="127" spans="1:17" x14ac:dyDescent="0.25">
      <c r="A127" s="21" t="s">
        <v>179</v>
      </c>
      <c r="B127" s="6" t="s">
        <v>180</v>
      </c>
      <c r="C127" s="92">
        <f t="shared" ref="C127:C145" si="73">SUM(D127:O127)</f>
        <v>4800000</v>
      </c>
      <c r="D127" s="3">
        <v>300000</v>
      </c>
      <c r="E127" s="3">
        <v>500000</v>
      </c>
      <c r="F127" s="3">
        <v>500000</v>
      </c>
      <c r="G127" s="3">
        <v>500000</v>
      </c>
      <c r="H127" s="3">
        <v>500000</v>
      </c>
      <c r="I127" s="3"/>
      <c r="J127" s="3"/>
      <c r="K127" s="3">
        <v>500000</v>
      </c>
      <c r="L127" s="3">
        <v>500000</v>
      </c>
      <c r="M127" s="3">
        <v>500000</v>
      </c>
      <c r="N127" s="3">
        <v>500000</v>
      </c>
      <c r="O127" s="3">
        <v>500000</v>
      </c>
    </row>
    <row r="128" spans="1:17" x14ac:dyDescent="0.25">
      <c r="A128" s="21" t="s">
        <v>181</v>
      </c>
      <c r="B128" s="6" t="s">
        <v>182</v>
      </c>
      <c r="C128" s="92">
        <f t="shared" si="73"/>
        <v>1440000</v>
      </c>
      <c r="D128" s="3">
        <v>120000</v>
      </c>
      <c r="E128" s="3">
        <v>120000</v>
      </c>
      <c r="F128" s="3">
        <v>120000</v>
      </c>
      <c r="G128" s="3">
        <v>120000</v>
      </c>
      <c r="H128" s="3">
        <v>120000</v>
      </c>
      <c r="I128" s="3">
        <v>120000</v>
      </c>
      <c r="J128" s="3">
        <v>120000</v>
      </c>
      <c r="K128" s="3">
        <v>120000</v>
      </c>
      <c r="L128" s="3">
        <v>120000</v>
      </c>
      <c r="M128" s="3">
        <v>120000</v>
      </c>
      <c r="N128" s="3">
        <v>120000</v>
      </c>
      <c r="O128" s="3">
        <v>120000</v>
      </c>
    </row>
    <row r="129" spans="1:15" x14ac:dyDescent="0.25">
      <c r="A129" s="21" t="s">
        <v>183</v>
      </c>
      <c r="B129" s="6" t="s">
        <v>184</v>
      </c>
      <c r="C129" s="92">
        <f t="shared" si="73"/>
        <v>0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x14ac:dyDescent="0.25">
      <c r="A130" s="21" t="s">
        <v>185</v>
      </c>
      <c r="B130" s="6" t="s">
        <v>186</v>
      </c>
      <c r="C130" s="92">
        <f t="shared" si="73"/>
        <v>3350000</v>
      </c>
      <c r="D130" s="3">
        <v>325000</v>
      </c>
      <c r="E130" s="3">
        <v>325000</v>
      </c>
      <c r="F130" s="3">
        <v>325000</v>
      </c>
      <c r="G130" s="3">
        <v>325000</v>
      </c>
      <c r="H130" s="3">
        <v>325000</v>
      </c>
      <c r="I130" s="3"/>
      <c r="J130" s="3"/>
      <c r="K130" s="3">
        <v>325000</v>
      </c>
      <c r="L130" s="3">
        <v>350000</v>
      </c>
      <c r="M130" s="3">
        <v>350000</v>
      </c>
      <c r="N130" s="3">
        <v>350000</v>
      </c>
      <c r="O130" s="3">
        <v>350000</v>
      </c>
    </row>
    <row r="131" spans="1:15" x14ac:dyDescent="0.25">
      <c r="A131" s="21" t="s">
        <v>187</v>
      </c>
      <c r="B131" s="6" t="s">
        <v>188</v>
      </c>
      <c r="C131" s="92">
        <f t="shared" si="73"/>
        <v>3216000</v>
      </c>
      <c r="D131" s="3"/>
      <c r="E131" s="3"/>
      <c r="F131" s="3">
        <v>1072000</v>
      </c>
      <c r="G131" s="3"/>
      <c r="H131" s="3"/>
      <c r="I131" s="3">
        <v>1072000</v>
      </c>
      <c r="J131" s="3"/>
      <c r="K131" s="3"/>
      <c r="L131" s="3"/>
      <c r="M131" s="3">
        <v>1072000</v>
      </c>
      <c r="N131" s="3"/>
      <c r="O131" s="3"/>
    </row>
    <row r="132" spans="1:15" x14ac:dyDescent="0.25">
      <c r="A132" s="21" t="s">
        <v>189</v>
      </c>
      <c r="B132" s="6" t="s">
        <v>190</v>
      </c>
      <c r="C132" s="92">
        <f t="shared" si="73"/>
        <v>1935000</v>
      </c>
      <c r="D132" s="3">
        <v>161250</v>
      </c>
      <c r="E132" s="3">
        <v>161250</v>
      </c>
      <c r="F132" s="3">
        <v>161250</v>
      </c>
      <c r="G132" s="3">
        <v>161250</v>
      </c>
      <c r="H132" s="3">
        <v>161250</v>
      </c>
      <c r="I132" s="3">
        <v>161250</v>
      </c>
      <c r="J132" s="3">
        <v>161250</v>
      </c>
      <c r="K132" s="3">
        <v>161250</v>
      </c>
      <c r="L132" s="3">
        <v>161250</v>
      </c>
      <c r="M132" s="3">
        <v>161250</v>
      </c>
      <c r="N132" s="3">
        <v>161250</v>
      </c>
      <c r="O132" s="3">
        <v>161250</v>
      </c>
    </row>
    <row r="133" spans="1:15" x14ac:dyDescent="0.25">
      <c r="A133" s="21" t="s">
        <v>191</v>
      </c>
      <c r="B133" s="6" t="s">
        <v>192</v>
      </c>
      <c r="C133" s="92">
        <f t="shared" si="73"/>
        <v>1200000</v>
      </c>
      <c r="D133" s="3">
        <v>100000</v>
      </c>
      <c r="E133" s="3">
        <v>100000</v>
      </c>
      <c r="F133" s="3">
        <v>100000</v>
      </c>
      <c r="G133" s="3">
        <v>100000</v>
      </c>
      <c r="H133" s="3">
        <v>100000</v>
      </c>
      <c r="I133" s="3">
        <v>100000</v>
      </c>
      <c r="J133" s="3">
        <v>100000</v>
      </c>
      <c r="K133" s="3">
        <v>100000</v>
      </c>
      <c r="L133" s="3">
        <v>100000</v>
      </c>
      <c r="M133" s="3">
        <v>100000</v>
      </c>
      <c r="N133" s="3">
        <v>100000</v>
      </c>
      <c r="O133" s="3">
        <v>100000</v>
      </c>
    </row>
    <row r="134" spans="1:15" x14ac:dyDescent="0.25">
      <c r="A134" s="21" t="s">
        <v>193</v>
      </c>
      <c r="B134" s="6" t="s">
        <v>194</v>
      </c>
      <c r="C134" s="92">
        <f t="shared" si="73"/>
        <v>1551720</v>
      </c>
      <c r="D134" s="3">
        <v>129310</v>
      </c>
      <c r="E134" s="3">
        <v>129310</v>
      </c>
      <c r="F134" s="3">
        <v>129310</v>
      </c>
      <c r="G134" s="3">
        <v>129310</v>
      </c>
      <c r="H134" s="3">
        <v>129310</v>
      </c>
      <c r="I134" s="3">
        <v>129310</v>
      </c>
      <c r="J134" s="3">
        <v>129310</v>
      </c>
      <c r="K134" s="3">
        <v>129310</v>
      </c>
      <c r="L134" s="3">
        <v>129310</v>
      </c>
      <c r="M134" s="3">
        <v>129310</v>
      </c>
      <c r="N134" s="3">
        <v>129310</v>
      </c>
      <c r="O134" s="3">
        <v>129310</v>
      </c>
    </row>
    <row r="135" spans="1:15" x14ac:dyDescent="0.25">
      <c r="A135" s="55" t="s">
        <v>39</v>
      </c>
      <c r="B135" s="6" t="s">
        <v>40</v>
      </c>
      <c r="C135" s="92">
        <f t="shared" si="73"/>
        <v>6549775</v>
      </c>
      <c r="D135" s="3">
        <f>689450/2</f>
        <v>344725</v>
      </c>
      <c r="E135" s="3">
        <v>689450</v>
      </c>
      <c r="F135" s="3">
        <v>689450</v>
      </c>
      <c r="G135" s="3">
        <v>689450</v>
      </c>
      <c r="H135" s="3">
        <v>689450</v>
      </c>
      <c r="I135" s="3">
        <v>689450</v>
      </c>
      <c r="J135" s="3"/>
      <c r="K135" s="3"/>
      <c r="L135" s="3">
        <v>689450</v>
      </c>
      <c r="M135" s="3">
        <v>689450</v>
      </c>
      <c r="N135" s="3">
        <v>689450</v>
      </c>
      <c r="O135" s="3">
        <v>689450</v>
      </c>
    </row>
    <row r="136" spans="1:15" x14ac:dyDescent="0.25">
      <c r="A136" s="55" t="s">
        <v>43</v>
      </c>
      <c r="B136" s="6" t="s">
        <v>44</v>
      </c>
      <c r="C136" s="92">
        <f t="shared" si="73"/>
        <v>738150</v>
      </c>
      <c r="D136" s="3">
        <f>77700/2</f>
        <v>38850</v>
      </c>
      <c r="E136" s="3">
        <v>77700</v>
      </c>
      <c r="F136" s="3">
        <v>77700</v>
      </c>
      <c r="G136" s="3">
        <v>77700</v>
      </c>
      <c r="H136" s="3">
        <v>77700</v>
      </c>
      <c r="I136" s="3">
        <v>77700</v>
      </c>
      <c r="J136" s="3"/>
      <c r="K136" s="3"/>
      <c r="L136" s="3">
        <v>77700</v>
      </c>
      <c r="M136" s="3">
        <v>77700</v>
      </c>
      <c r="N136" s="3">
        <v>77700</v>
      </c>
      <c r="O136" s="3">
        <v>77700</v>
      </c>
    </row>
    <row r="137" spans="1:15" x14ac:dyDescent="0.25">
      <c r="A137" s="55" t="s">
        <v>45</v>
      </c>
      <c r="B137" s="6" t="s">
        <v>46</v>
      </c>
      <c r="C137" s="92">
        <f t="shared" si="73"/>
        <v>607327.08333333337</v>
      </c>
      <c r="D137" s="3">
        <f>(D136+D135)*30/360</f>
        <v>31964.583333333332</v>
      </c>
      <c r="E137" s="3">
        <f t="shared" ref="E137:O137" si="74">(E136+E135)*30/360</f>
        <v>63929.166666666664</v>
      </c>
      <c r="F137" s="3">
        <f t="shared" si="74"/>
        <v>63929.166666666664</v>
      </c>
      <c r="G137" s="3">
        <f t="shared" si="74"/>
        <v>63929.166666666664</v>
      </c>
      <c r="H137" s="3">
        <f t="shared" si="74"/>
        <v>63929.166666666664</v>
      </c>
      <c r="I137" s="3">
        <f t="shared" si="74"/>
        <v>63929.166666666664</v>
      </c>
      <c r="J137" s="3"/>
      <c r="K137" s="3"/>
      <c r="L137" s="3">
        <f t="shared" si="74"/>
        <v>63929.166666666664</v>
      </c>
      <c r="M137" s="3">
        <f t="shared" si="74"/>
        <v>63929.166666666664</v>
      </c>
      <c r="N137" s="3">
        <f t="shared" si="74"/>
        <v>63929.166666666664</v>
      </c>
      <c r="O137" s="3">
        <f t="shared" si="74"/>
        <v>63929.166666666664</v>
      </c>
    </row>
    <row r="138" spans="1:15" x14ac:dyDescent="0.25">
      <c r="A138" s="55" t="s">
        <v>47</v>
      </c>
      <c r="B138" s="6" t="s">
        <v>48</v>
      </c>
      <c r="C138" s="92">
        <f t="shared" si="73"/>
        <v>65497.75</v>
      </c>
      <c r="D138" s="3">
        <f>+D135*1%</f>
        <v>3447.25</v>
      </c>
      <c r="E138" s="3">
        <f t="shared" ref="E138:O138" si="75">+E135*1%</f>
        <v>6894.5</v>
      </c>
      <c r="F138" s="3">
        <f t="shared" si="75"/>
        <v>6894.5</v>
      </c>
      <c r="G138" s="3">
        <f t="shared" si="75"/>
        <v>6894.5</v>
      </c>
      <c r="H138" s="3">
        <f t="shared" si="75"/>
        <v>6894.5</v>
      </c>
      <c r="I138" s="3">
        <f t="shared" si="75"/>
        <v>6894.5</v>
      </c>
      <c r="J138" s="3"/>
      <c r="K138" s="3"/>
      <c r="L138" s="3">
        <f t="shared" si="75"/>
        <v>6894.5</v>
      </c>
      <c r="M138" s="3">
        <f t="shared" si="75"/>
        <v>6894.5</v>
      </c>
      <c r="N138" s="3">
        <f t="shared" si="75"/>
        <v>6894.5</v>
      </c>
      <c r="O138" s="3">
        <f t="shared" si="75"/>
        <v>6894.5</v>
      </c>
    </row>
    <row r="139" spans="1:15" x14ac:dyDescent="0.25">
      <c r="A139" s="55" t="s">
        <v>49</v>
      </c>
      <c r="B139" s="6" t="s">
        <v>50</v>
      </c>
      <c r="C139" s="92">
        <f t="shared" si="73"/>
        <v>607327.08333333337</v>
      </c>
      <c r="D139" s="3">
        <f>(D135+D136)*30/360</f>
        <v>31964.583333333332</v>
      </c>
      <c r="E139" s="3">
        <f t="shared" ref="E139:O139" si="76">(E135+E136)*30/360</f>
        <v>63929.166666666664</v>
      </c>
      <c r="F139" s="3">
        <f t="shared" si="76"/>
        <v>63929.166666666664</v>
      </c>
      <c r="G139" s="3">
        <f t="shared" si="76"/>
        <v>63929.166666666664</v>
      </c>
      <c r="H139" s="3">
        <f t="shared" si="76"/>
        <v>63929.166666666664</v>
      </c>
      <c r="I139" s="3">
        <f t="shared" si="76"/>
        <v>63929.166666666664</v>
      </c>
      <c r="J139" s="3"/>
      <c r="K139" s="3"/>
      <c r="L139" s="3">
        <f t="shared" si="76"/>
        <v>63929.166666666664</v>
      </c>
      <c r="M139" s="3">
        <f t="shared" si="76"/>
        <v>63929.166666666664</v>
      </c>
      <c r="N139" s="3">
        <f t="shared" si="76"/>
        <v>63929.166666666664</v>
      </c>
      <c r="O139" s="3">
        <f t="shared" si="76"/>
        <v>63929.166666666664</v>
      </c>
    </row>
    <row r="140" spans="1:15" x14ac:dyDescent="0.25">
      <c r="A140" s="55" t="s">
        <v>51</v>
      </c>
      <c r="B140" s="6" t="s">
        <v>52</v>
      </c>
      <c r="C140" s="92">
        <f t="shared" si="73"/>
        <v>303663.54166666669</v>
      </c>
      <c r="D140" s="3">
        <f>(D135+D136)*30/720</f>
        <v>15982.291666666666</v>
      </c>
      <c r="E140" s="3">
        <f t="shared" ref="E140:O140" si="77">(E135+E136)*30/720</f>
        <v>31964.583333333332</v>
      </c>
      <c r="F140" s="3">
        <f t="shared" si="77"/>
        <v>31964.583333333332</v>
      </c>
      <c r="G140" s="3">
        <f t="shared" si="77"/>
        <v>31964.583333333332</v>
      </c>
      <c r="H140" s="3">
        <f t="shared" si="77"/>
        <v>31964.583333333332</v>
      </c>
      <c r="I140" s="3">
        <f t="shared" si="77"/>
        <v>31964.583333333332</v>
      </c>
      <c r="J140" s="3"/>
      <c r="K140" s="3"/>
      <c r="L140" s="3">
        <f t="shared" si="77"/>
        <v>31964.583333333332</v>
      </c>
      <c r="M140" s="3">
        <f t="shared" si="77"/>
        <v>31964.583333333332</v>
      </c>
      <c r="N140" s="3">
        <f t="shared" si="77"/>
        <v>31964.583333333332</v>
      </c>
      <c r="O140" s="3">
        <f t="shared" si="77"/>
        <v>31964.583333333332</v>
      </c>
    </row>
    <row r="141" spans="1:15" x14ac:dyDescent="0.25">
      <c r="A141" s="55" t="s">
        <v>53</v>
      </c>
      <c r="B141" s="6" t="s">
        <v>54</v>
      </c>
      <c r="C141" s="92">
        <f t="shared" si="73"/>
        <v>1425000</v>
      </c>
      <c r="D141" s="3">
        <f>150000/2</f>
        <v>75000</v>
      </c>
      <c r="E141" s="3">
        <v>150000</v>
      </c>
      <c r="F141" s="3">
        <v>150000</v>
      </c>
      <c r="G141" s="3">
        <v>150000</v>
      </c>
      <c r="H141" s="3">
        <v>150000</v>
      </c>
      <c r="I141" s="3">
        <v>150000</v>
      </c>
      <c r="J141" s="3"/>
      <c r="K141" s="3"/>
      <c r="L141" s="3">
        <v>150000</v>
      </c>
      <c r="M141" s="3">
        <v>150000</v>
      </c>
      <c r="N141" s="3">
        <v>150000</v>
      </c>
      <c r="O141" s="3">
        <v>150000</v>
      </c>
    </row>
    <row r="142" spans="1:15" x14ac:dyDescent="0.25">
      <c r="A142" s="55" t="s">
        <v>55</v>
      </c>
      <c r="B142" s="6" t="s">
        <v>56</v>
      </c>
      <c r="C142" s="92">
        <f t="shared" si="73"/>
        <v>0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25">
      <c r="A143" s="55" t="s">
        <v>59</v>
      </c>
      <c r="B143" s="6" t="s">
        <v>60</v>
      </c>
      <c r="C143" s="92">
        <f t="shared" si="73"/>
        <v>34189.825499999999</v>
      </c>
      <c r="D143" s="3">
        <f>+D135*0.522%</f>
        <v>1799.4645</v>
      </c>
      <c r="E143" s="3">
        <f t="shared" ref="E143:O143" si="78">+E135*0.522%</f>
        <v>3598.9290000000001</v>
      </c>
      <c r="F143" s="3">
        <f t="shared" si="78"/>
        <v>3598.9290000000001</v>
      </c>
      <c r="G143" s="3">
        <f t="shared" si="78"/>
        <v>3598.9290000000001</v>
      </c>
      <c r="H143" s="3">
        <f t="shared" si="78"/>
        <v>3598.9290000000001</v>
      </c>
      <c r="I143" s="3">
        <f t="shared" si="78"/>
        <v>3598.9290000000001</v>
      </c>
      <c r="J143" s="3"/>
      <c r="K143" s="3"/>
      <c r="L143" s="3">
        <f t="shared" si="78"/>
        <v>3598.9290000000001</v>
      </c>
      <c r="M143" s="3">
        <f t="shared" si="78"/>
        <v>3598.9290000000001</v>
      </c>
      <c r="N143" s="3">
        <f t="shared" si="78"/>
        <v>3598.9290000000001</v>
      </c>
      <c r="O143" s="3">
        <f t="shared" si="78"/>
        <v>3598.9290000000001</v>
      </c>
    </row>
    <row r="144" spans="1:15" x14ac:dyDescent="0.25">
      <c r="A144" s="55" t="s">
        <v>63</v>
      </c>
      <c r="B144" s="6" t="s">
        <v>64</v>
      </c>
      <c r="C144" s="92">
        <f t="shared" si="73"/>
        <v>818721.875</v>
      </c>
      <c r="D144" s="3">
        <f>+D135*12.5%</f>
        <v>43090.625</v>
      </c>
      <c r="E144" s="3">
        <f t="shared" ref="E144:O144" si="79">+E135*12.5%</f>
        <v>86181.25</v>
      </c>
      <c r="F144" s="3">
        <f t="shared" si="79"/>
        <v>86181.25</v>
      </c>
      <c r="G144" s="3">
        <f t="shared" si="79"/>
        <v>86181.25</v>
      </c>
      <c r="H144" s="3">
        <f t="shared" si="79"/>
        <v>86181.25</v>
      </c>
      <c r="I144" s="3">
        <f t="shared" si="79"/>
        <v>86181.25</v>
      </c>
      <c r="J144" s="3"/>
      <c r="K144" s="3"/>
      <c r="L144" s="3">
        <f t="shared" si="79"/>
        <v>86181.25</v>
      </c>
      <c r="M144" s="3">
        <f t="shared" si="79"/>
        <v>86181.25</v>
      </c>
      <c r="N144" s="3">
        <f t="shared" si="79"/>
        <v>86181.25</v>
      </c>
      <c r="O144" s="3">
        <f t="shared" si="79"/>
        <v>86181.25</v>
      </c>
    </row>
    <row r="145" spans="1:15" x14ac:dyDescent="0.25">
      <c r="A145" s="55" t="s">
        <v>65</v>
      </c>
      <c r="B145" s="6" t="s">
        <v>66</v>
      </c>
      <c r="C145" s="92">
        <f t="shared" si="73"/>
        <v>261991</v>
      </c>
      <c r="D145" s="3">
        <f>+D135*4%</f>
        <v>13789</v>
      </c>
      <c r="E145" s="3">
        <f t="shared" ref="E145:O145" si="80">+E135*4%</f>
        <v>27578</v>
      </c>
      <c r="F145" s="3">
        <f t="shared" si="80"/>
        <v>27578</v>
      </c>
      <c r="G145" s="3">
        <f t="shared" si="80"/>
        <v>27578</v>
      </c>
      <c r="H145" s="3">
        <f t="shared" si="80"/>
        <v>27578</v>
      </c>
      <c r="I145" s="3">
        <f t="shared" si="80"/>
        <v>27578</v>
      </c>
      <c r="J145" s="3"/>
      <c r="K145" s="3"/>
      <c r="L145" s="3">
        <f t="shared" si="80"/>
        <v>27578</v>
      </c>
      <c r="M145" s="3">
        <f t="shared" si="80"/>
        <v>27578</v>
      </c>
      <c r="N145" s="3">
        <f t="shared" si="80"/>
        <v>27578</v>
      </c>
      <c r="O145" s="3">
        <f t="shared" si="80"/>
        <v>27578</v>
      </c>
    </row>
    <row r="146" spans="1:15" x14ac:dyDescent="0.25">
      <c r="C146" s="93"/>
    </row>
    <row r="147" spans="1:15" x14ac:dyDescent="0.25">
      <c r="C147" s="93"/>
    </row>
    <row r="148" spans="1:15" ht="18.75" x14ac:dyDescent="0.3">
      <c r="A148" s="98" t="s">
        <v>235</v>
      </c>
      <c r="B148" s="98"/>
      <c r="C148" s="93"/>
    </row>
    <row r="149" spans="1:15" ht="18.75" x14ac:dyDescent="0.3">
      <c r="A149" s="22"/>
      <c r="B149" s="56"/>
      <c r="C149" s="95" t="s">
        <v>207</v>
      </c>
      <c r="D149" s="58" t="s">
        <v>195</v>
      </c>
      <c r="E149" s="58" t="s">
        <v>196</v>
      </c>
      <c r="F149" s="58" t="s">
        <v>197</v>
      </c>
      <c r="G149" s="58" t="s">
        <v>198</v>
      </c>
      <c r="H149" s="58" t="s">
        <v>199</v>
      </c>
      <c r="I149" s="58" t="s">
        <v>200</v>
      </c>
      <c r="J149" s="58" t="s">
        <v>201</v>
      </c>
      <c r="K149" s="58" t="s">
        <v>202</v>
      </c>
      <c r="L149" s="58" t="s">
        <v>203</v>
      </c>
      <c r="M149" s="58" t="s">
        <v>204</v>
      </c>
      <c r="N149" s="58" t="s">
        <v>205</v>
      </c>
      <c r="O149" s="58" t="s">
        <v>206</v>
      </c>
    </row>
    <row r="150" spans="1:15" ht="18.75" x14ac:dyDescent="0.3">
      <c r="A150" s="22" t="str">
        <f>+A2</f>
        <v>4</v>
      </c>
      <c r="B150" s="57" t="str">
        <f>+B2</f>
        <v>I N G R E S O S</v>
      </c>
      <c r="C150" s="92">
        <f>+C2</f>
        <v>122047316.94999999</v>
      </c>
      <c r="D150" s="3">
        <f t="shared" ref="D150:O150" si="81">+D2</f>
        <v>6099000</v>
      </c>
      <c r="E150" s="3">
        <f t="shared" si="81"/>
        <v>13650792.5</v>
      </c>
      <c r="F150" s="3">
        <f t="shared" si="81"/>
        <v>13959552.5</v>
      </c>
      <c r="G150" s="3">
        <f t="shared" si="81"/>
        <v>12518212.925000001</v>
      </c>
      <c r="H150" s="3">
        <f t="shared" si="81"/>
        <v>12518212.925000001</v>
      </c>
      <c r="I150" s="3">
        <f t="shared" si="81"/>
        <v>11619212.925000001</v>
      </c>
      <c r="J150" s="3">
        <f t="shared" si="81"/>
        <v>7080212.9249999998</v>
      </c>
      <c r="K150" s="3">
        <f t="shared" si="81"/>
        <v>7729212.9249999998</v>
      </c>
      <c r="L150" s="3">
        <f t="shared" si="81"/>
        <v>12470212.925000001</v>
      </c>
      <c r="M150" s="3">
        <f t="shared" si="81"/>
        <v>12470212.925000001</v>
      </c>
      <c r="N150" s="3">
        <f t="shared" si="81"/>
        <v>3621481.4749999996</v>
      </c>
      <c r="O150" s="3">
        <f t="shared" si="81"/>
        <v>8311000</v>
      </c>
    </row>
    <row r="151" spans="1:15" ht="18.75" x14ac:dyDescent="0.3">
      <c r="A151" s="22" t="str">
        <f>+A28</f>
        <v>5</v>
      </c>
      <c r="B151" s="57" t="str">
        <f t="shared" ref="B151" si="82">+B28</f>
        <v>G A S T O S</v>
      </c>
      <c r="C151" s="92">
        <f>+C28</f>
        <v>62120435.536729999</v>
      </c>
      <c r="D151" s="3">
        <f t="shared" ref="D151:O151" si="83">+D28</f>
        <v>4329399.8789333329</v>
      </c>
      <c r="E151" s="3">
        <f t="shared" si="83"/>
        <v>4827435.2584333336</v>
      </c>
      <c r="F151" s="3">
        <f t="shared" si="83"/>
        <v>5397692.9624333335</v>
      </c>
      <c r="G151" s="3">
        <f t="shared" si="83"/>
        <v>5732256.1457283329</v>
      </c>
      <c r="H151" s="3">
        <f t="shared" si="83"/>
        <v>8232256.1457283339</v>
      </c>
      <c r="I151" s="3">
        <f t="shared" si="83"/>
        <v>4751441.5457283333</v>
      </c>
      <c r="J151" s="3">
        <f t="shared" si="83"/>
        <v>4485370.9457283337</v>
      </c>
      <c r="K151" s="3">
        <f t="shared" si="83"/>
        <v>4514835.5457283333</v>
      </c>
      <c r="L151" s="3">
        <f t="shared" si="83"/>
        <v>4790076.9457283337</v>
      </c>
      <c r="M151" s="3">
        <f t="shared" si="83"/>
        <v>4730076.9457283337</v>
      </c>
      <c r="N151" s="3">
        <f t="shared" si="83"/>
        <v>4728344.5378983337</v>
      </c>
      <c r="O151" s="3">
        <f t="shared" si="83"/>
        <v>5601248.6789333336</v>
      </c>
    </row>
    <row r="152" spans="1:15" ht="18.75" x14ac:dyDescent="0.3">
      <c r="A152" s="22" t="str">
        <f>+A119</f>
        <v>6</v>
      </c>
      <c r="B152" s="57" t="str">
        <f t="shared" ref="B152:C152" si="84">+B119</f>
        <v>C O S T O  D E   V E N T A</v>
      </c>
      <c r="C152" s="92">
        <f t="shared" si="84"/>
        <v>28904363.158833332</v>
      </c>
      <c r="D152" s="3">
        <f t="shared" ref="D152:O152" si="85">+D119</f>
        <v>1736172.7978333333</v>
      </c>
      <c r="E152" s="3">
        <f t="shared" si="85"/>
        <v>2536785.5956666665</v>
      </c>
      <c r="F152" s="3">
        <f t="shared" si="85"/>
        <v>3608785.5956666665</v>
      </c>
      <c r="G152" s="3">
        <f t="shared" si="85"/>
        <v>2536785.5956666665</v>
      </c>
      <c r="H152" s="3">
        <f t="shared" si="85"/>
        <v>2536785.5956666665</v>
      </c>
      <c r="I152" s="3">
        <f t="shared" si="85"/>
        <v>2783785.5956666665</v>
      </c>
      <c r="J152" s="3">
        <f t="shared" si="85"/>
        <v>510560</v>
      </c>
      <c r="K152" s="3">
        <f t="shared" si="85"/>
        <v>1335560</v>
      </c>
      <c r="L152" s="3">
        <f t="shared" si="85"/>
        <v>2561785.5956666665</v>
      </c>
      <c r="M152" s="3">
        <f t="shared" si="85"/>
        <v>3633785.5956666665</v>
      </c>
      <c r="N152" s="3">
        <f t="shared" si="85"/>
        <v>2561785.5956666665</v>
      </c>
      <c r="O152" s="3">
        <f t="shared" si="85"/>
        <v>2561785.5956666665</v>
      </c>
    </row>
    <row r="153" spans="1:15" ht="18.75" x14ac:dyDescent="0.3">
      <c r="A153" s="22"/>
      <c r="B153" s="56" t="s">
        <v>242</v>
      </c>
      <c r="C153" s="92">
        <f>+C150-C151-C152</f>
        <v>31022518.254436657</v>
      </c>
      <c r="D153" s="43">
        <f t="shared" ref="D153:O153" si="86">+D150-D151-D152</f>
        <v>33427.323233333882</v>
      </c>
      <c r="E153" s="3">
        <f t="shared" si="86"/>
        <v>6286571.645899999</v>
      </c>
      <c r="F153" s="3">
        <f t="shared" si="86"/>
        <v>4953073.941899999</v>
      </c>
      <c r="G153" s="3">
        <f t="shared" si="86"/>
        <v>4249171.1836050013</v>
      </c>
      <c r="H153" s="3">
        <f t="shared" si="86"/>
        <v>1749171.1836050004</v>
      </c>
      <c r="I153" s="3">
        <f t="shared" si="86"/>
        <v>4083985.7836050009</v>
      </c>
      <c r="J153" s="3">
        <f t="shared" si="86"/>
        <v>2084281.9792716661</v>
      </c>
      <c r="K153" s="3">
        <f t="shared" si="86"/>
        <v>1878817.3792716665</v>
      </c>
      <c r="L153" s="3">
        <f t="shared" si="86"/>
        <v>5118350.3836050006</v>
      </c>
      <c r="M153" s="3">
        <f t="shared" si="86"/>
        <v>4106350.3836050006</v>
      </c>
      <c r="N153" s="43">
        <f t="shared" si="86"/>
        <v>-3668648.6585650006</v>
      </c>
      <c r="O153" s="43">
        <f t="shared" si="86"/>
        <v>147965.72539999988</v>
      </c>
    </row>
    <row r="154" spans="1:15" x14ac:dyDescent="0.25">
      <c r="C154" s="96">
        <f>+C153/C150</f>
        <v>0.25418435267320033</v>
      </c>
      <c r="D154" s="59">
        <f t="shared" ref="D154:O154" si="87">+D153/D150</f>
        <v>5.480787544406277E-3</v>
      </c>
      <c r="E154" s="59">
        <f t="shared" si="87"/>
        <v>0.46052796172090366</v>
      </c>
      <c r="F154" s="59">
        <f t="shared" si="87"/>
        <v>0.35481609757189558</v>
      </c>
      <c r="G154" s="59">
        <f t="shared" si="87"/>
        <v>0.33943912034912133</v>
      </c>
      <c r="H154" s="59">
        <f t="shared" si="87"/>
        <v>0.13973010317724727</v>
      </c>
      <c r="I154" s="59">
        <f t="shared" si="87"/>
        <v>0.3514855790978631</v>
      </c>
      <c r="J154" s="59">
        <f t="shared" si="87"/>
        <v>0.29438125679979693</v>
      </c>
      <c r="K154" s="59">
        <f t="shared" si="87"/>
        <v>0.24308003900302264</v>
      </c>
      <c r="L154" s="59">
        <f t="shared" si="87"/>
        <v>0.41044610981291646</v>
      </c>
      <c r="M154" s="59">
        <f t="shared" si="87"/>
        <v>0.32929272405386778</v>
      </c>
      <c r="N154" s="59">
        <f t="shared" si="87"/>
        <v>-1.0130242785695875</v>
      </c>
      <c r="O154" s="59">
        <f t="shared" si="87"/>
        <v>1.7803600697870278E-2</v>
      </c>
    </row>
    <row r="157" spans="1:15" x14ac:dyDescent="0.25">
      <c r="A157" s="30" t="s">
        <v>161</v>
      </c>
      <c r="B157" s="31" t="s">
        <v>162</v>
      </c>
      <c r="C157" s="92">
        <f t="shared" ref="C157:O157" si="88">+C159</f>
        <v>10547656.206508469</v>
      </c>
      <c r="D157" s="32">
        <f t="shared" si="88"/>
        <v>11365.28989933352</v>
      </c>
      <c r="E157" s="32">
        <f t="shared" si="88"/>
        <v>2137434.3596059997</v>
      </c>
      <c r="F157" s="32">
        <f t="shared" si="88"/>
        <v>1684045.1402459997</v>
      </c>
      <c r="G157" s="32">
        <f t="shared" si="88"/>
        <v>1444718.2024257004</v>
      </c>
      <c r="H157" s="32">
        <f t="shared" si="88"/>
        <v>594718.20242570015</v>
      </c>
      <c r="I157" s="32">
        <f t="shared" si="88"/>
        <v>1388555.1664257003</v>
      </c>
      <c r="J157" s="32">
        <f t="shared" si="88"/>
        <v>708655.87295236648</v>
      </c>
      <c r="K157" s="32">
        <f t="shared" si="88"/>
        <v>638797.90895236656</v>
      </c>
      <c r="L157" s="32">
        <f t="shared" si="88"/>
        <v>1740239.1304257002</v>
      </c>
      <c r="M157" s="32">
        <f t="shared" si="88"/>
        <v>1396159.1304257002</v>
      </c>
      <c r="N157" s="32">
        <f t="shared" si="88"/>
        <v>-1247340.5439121001</v>
      </c>
      <c r="O157" s="32">
        <f t="shared" si="88"/>
        <v>50308.346635999958</v>
      </c>
    </row>
    <row r="158" spans="1:15" x14ac:dyDescent="0.25">
      <c r="C158" s="93"/>
      <c r="D158" s="13"/>
      <c r="E158" s="13"/>
    </row>
    <row r="159" spans="1:15" x14ac:dyDescent="0.25">
      <c r="A159" s="23" t="s">
        <v>163</v>
      </c>
      <c r="B159" s="14" t="s">
        <v>162</v>
      </c>
      <c r="C159" s="92">
        <f t="shared" ref="C159:O159" si="89">SUM(C161:C162)</f>
        <v>10547656.206508469</v>
      </c>
      <c r="D159" s="4">
        <f t="shared" si="89"/>
        <v>11365.28989933352</v>
      </c>
      <c r="E159" s="4">
        <f t="shared" si="89"/>
        <v>2137434.3596059997</v>
      </c>
      <c r="F159" s="4">
        <f t="shared" si="89"/>
        <v>1684045.1402459997</v>
      </c>
      <c r="G159" s="4">
        <f t="shared" si="89"/>
        <v>1444718.2024257004</v>
      </c>
      <c r="H159" s="4">
        <f t="shared" si="89"/>
        <v>594718.20242570015</v>
      </c>
      <c r="I159" s="4">
        <f t="shared" si="89"/>
        <v>1388555.1664257003</v>
      </c>
      <c r="J159" s="4">
        <f t="shared" si="89"/>
        <v>708655.87295236648</v>
      </c>
      <c r="K159" s="4">
        <f t="shared" si="89"/>
        <v>638797.90895236656</v>
      </c>
      <c r="L159" s="4">
        <f t="shared" si="89"/>
        <v>1740239.1304257002</v>
      </c>
      <c r="M159" s="4">
        <f t="shared" si="89"/>
        <v>1396159.1304257002</v>
      </c>
      <c r="N159" s="4">
        <f t="shared" si="89"/>
        <v>-1247340.5439121001</v>
      </c>
      <c r="O159" s="4">
        <f t="shared" si="89"/>
        <v>50308.346635999958</v>
      </c>
    </row>
    <row r="160" spans="1:15" x14ac:dyDescent="0.25">
      <c r="C160" s="93"/>
    </row>
    <row r="161" spans="1:15" x14ac:dyDescent="0.25">
      <c r="A161" s="22" t="s">
        <v>164</v>
      </c>
      <c r="B161" s="6" t="s">
        <v>249</v>
      </c>
      <c r="C161" s="92">
        <f>SUM(D161:O161)</f>
        <v>7755629.5636091679</v>
      </c>
      <c r="D161" s="3">
        <f t="shared" ref="D161:O161" si="90">+D153*25%</f>
        <v>8356.8308083334705</v>
      </c>
      <c r="E161" s="3">
        <f t="shared" si="90"/>
        <v>1571642.9114749997</v>
      </c>
      <c r="F161" s="3">
        <f t="shared" si="90"/>
        <v>1238268.4854749998</v>
      </c>
      <c r="G161" s="3">
        <f t="shared" si="90"/>
        <v>1062292.7959012503</v>
      </c>
      <c r="H161" s="3">
        <f t="shared" si="90"/>
        <v>437292.79590125009</v>
      </c>
      <c r="I161" s="3">
        <f t="shared" si="90"/>
        <v>1020996.4459012502</v>
      </c>
      <c r="J161" s="3">
        <f t="shared" si="90"/>
        <v>521070.49481791654</v>
      </c>
      <c r="K161" s="3">
        <f t="shared" si="90"/>
        <v>469704.34481791663</v>
      </c>
      <c r="L161" s="3">
        <f t="shared" si="90"/>
        <v>1279587.5959012501</v>
      </c>
      <c r="M161" s="3">
        <f t="shared" si="90"/>
        <v>1026587.5959012501</v>
      </c>
      <c r="N161" s="3">
        <f t="shared" si="90"/>
        <v>-917162.16464125016</v>
      </c>
      <c r="O161" s="3">
        <f t="shared" si="90"/>
        <v>36991.43134999997</v>
      </c>
    </row>
    <row r="162" spans="1:15" x14ac:dyDescent="0.25">
      <c r="A162" s="22" t="s">
        <v>165</v>
      </c>
      <c r="B162" s="6" t="s">
        <v>250</v>
      </c>
      <c r="C162" s="92">
        <f>SUM(D162:O162)</f>
        <v>2792026.6428993</v>
      </c>
      <c r="D162" s="3">
        <f t="shared" ref="D162:O162" si="91">+D153*9%</f>
        <v>3008.4590910000493</v>
      </c>
      <c r="E162" s="3">
        <f t="shared" si="91"/>
        <v>565791.44813099992</v>
      </c>
      <c r="F162" s="3">
        <f t="shared" si="91"/>
        <v>445776.65477099991</v>
      </c>
      <c r="G162" s="3">
        <f t="shared" si="91"/>
        <v>382425.40652445011</v>
      </c>
      <c r="H162" s="3">
        <f t="shared" si="91"/>
        <v>157425.40652445002</v>
      </c>
      <c r="I162" s="3">
        <f t="shared" si="91"/>
        <v>367558.72052445007</v>
      </c>
      <c r="J162" s="3">
        <f t="shared" si="91"/>
        <v>187585.37813444994</v>
      </c>
      <c r="K162" s="3">
        <f t="shared" si="91"/>
        <v>169093.56413444999</v>
      </c>
      <c r="L162" s="3">
        <f t="shared" si="91"/>
        <v>460651.53452445002</v>
      </c>
      <c r="M162" s="3">
        <f t="shared" si="91"/>
        <v>369571.53452445002</v>
      </c>
      <c r="N162" s="3">
        <f t="shared" si="91"/>
        <v>-330178.37927085004</v>
      </c>
      <c r="O162" s="3">
        <f t="shared" si="91"/>
        <v>13316.915285999989</v>
      </c>
    </row>
    <row r="163" spans="1:15" x14ac:dyDescent="0.25">
      <c r="C163" s="93"/>
    </row>
    <row r="164" spans="1:15" x14ac:dyDescent="0.25">
      <c r="B164" t="s">
        <v>251</v>
      </c>
      <c r="C164" s="93">
        <f>+C153-C159</f>
        <v>20474862.047928188</v>
      </c>
      <c r="D164" s="13">
        <f t="shared" ref="D164:O164" si="92">+D153-D159</f>
        <v>22062.033334000364</v>
      </c>
      <c r="E164" s="13">
        <f t="shared" si="92"/>
        <v>4149137.2862939993</v>
      </c>
      <c r="F164" s="13">
        <f t="shared" si="92"/>
        <v>3269028.8016539994</v>
      </c>
      <c r="G164" s="13">
        <f t="shared" si="92"/>
        <v>2804452.9811793007</v>
      </c>
      <c r="H164" s="13">
        <f t="shared" si="92"/>
        <v>1154452.9811793002</v>
      </c>
      <c r="I164" s="13">
        <f t="shared" si="92"/>
        <v>2695430.6171793006</v>
      </c>
      <c r="J164" s="13">
        <f t="shared" si="92"/>
        <v>1375626.1063192997</v>
      </c>
      <c r="K164" s="13">
        <f t="shared" si="92"/>
        <v>1240019.4703193</v>
      </c>
      <c r="L164" s="13">
        <f t="shared" si="92"/>
        <v>3378111.2531793006</v>
      </c>
      <c r="M164" s="13">
        <f t="shared" si="92"/>
        <v>2710191.2531793006</v>
      </c>
      <c r="N164" s="13">
        <f t="shared" si="92"/>
        <v>-2421308.1146529005</v>
      </c>
      <c r="O164" s="13">
        <f t="shared" si="92"/>
        <v>97657.378763999921</v>
      </c>
    </row>
    <row r="165" spans="1:15" x14ac:dyDescent="0.25">
      <c r="C165" s="93"/>
    </row>
    <row r="166" spans="1:15" x14ac:dyDescent="0.25">
      <c r="C166" s="93"/>
    </row>
    <row r="167" spans="1:15" x14ac:dyDescent="0.25">
      <c r="C167" s="93"/>
    </row>
    <row r="168" spans="1:15" x14ac:dyDescent="0.25">
      <c r="C168" s="93"/>
    </row>
    <row r="169" spans="1:15" x14ac:dyDescent="0.25">
      <c r="C169" s="93"/>
    </row>
    <row r="170" spans="1:15" x14ac:dyDescent="0.25">
      <c r="C170" s="93"/>
    </row>
    <row r="171" spans="1:15" x14ac:dyDescent="0.25">
      <c r="C171" s="93"/>
    </row>
    <row r="172" spans="1:15" x14ac:dyDescent="0.25">
      <c r="C172" s="93"/>
    </row>
    <row r="173" spans="1:15" x14ac:dyDescent="0.25">
      <c r="C173" s="93"/>
    </row>
    <row r="174" spans="1:15" x14ac:dyDescent="0.25">
      <c r="C174" s="93"/>
    </row>
    <row r="175" spans="1:15" x14ac:dyDescent="0.25">
      <c r="C175" s="93"/>
    </row>
    <row r="176" spans="1:15" x14ac:dyDescent="0.25">
      <c r="C176" s="93"/>
    </row>
    <row r="177" spans="3:3" x14ac:dyDescent="0.25">
      <c r="C177" s="93"/>
    </row>
    <row r="178" spans="3:3" x14ac:dyDescent="0.25">
      <c r="C178" s="93"/>
    </row>
    <row r="179" spans="3:3" x14ac:dyDescent="0.25">
      <c r="C179" s="93"/>
    </row>
    <row r="180" spans="3:3" x14ac:dyDescent="0.25">
      <c r="C180" s="93"/>
    </row>
  </sheetData>
  <autoFilter ref="A1:P182"/>
  <mergeCells count="1">
    <mergeCell ref="A148:B148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/>
  </sheetViews>
  <sheetFormatPr baseColWidth="10" defaultRowHeight="15" x14ac:dyDescent="0.25"/>
  <cols>
    <col min="1" max="1" width="24.5703125" style="8" bestFit="1" customWidth="1"/>
    <col min="2" max="2" width="15.140625" style="2" bestFit="1" customWidth="1"/>
    <col min="3" max="5" width="12.5703125" bestFit="1" customWidth="1"/>
    <col min="6" max="6" width="15.140625" bestFit="1" customWidth="1"/>
    <col min="7" max="10" width="12.5703125" bestFit="1" customWidth="1"/>
    <col min="11" max="11" width="15.140625" bestFit="1" customWidth="1"/>
    <col min="12" max="12" width="13.5703125" bestFit="1" customWidth="1"/>
    <col min="13" max="13" width="14.85546875" bestFit="1" customWidth="1"/>
    <col min="14" max="14" width="12.5703125" bestFit="1" customWidth="1"/>
  </cols>
  <sheetData>
    <row r="1" spans="1:14" x14ac:dyDescent="0.25">
      <c r="D1" s="2">
        <f>+C3-D3</f>
        <v>1549827.5</v>
      </c>
      <c r="E1">
        <v>8</v>
      </c>
      <c r="F1" s="2">
        <f>+D1*E1</f>
        <v>12398620</v>
      </c>
    </row>
    <row r="2" spans="1:14" s="8" customFormat="1" x14ac:dyDescent="0.25">
      <c r="A2" s="7"/>
      <c r="B2" s="10" t="s">
        <v>196</v>
      </c>
      <c r="C2" s="11" t="s">
        <v>224</v>
      </c>
      <c r="D2" s="11" t="s">
        <v>198</v>
      </c>
      <c r="E2" s="11" t="s">
        <v>199</v>
      </c>
      <c r="F2" s="11" t="s">
        <v>200</v>
      </c>
      <c r="G2" s="11" t="s">
        <v>201</v>
      </c>
      <c r="H2" s="11" t="s">
        <v>202</v>
      </c>
      <c r="I2" s="11" t="s">
        <v>203</v>
      </c>
      <c r="J2" s="11" t="s">
        <v>204</v>
      </c>
      <c r="K2" s="11" t="s">
        <v>205</v>
      </c>
      <c r="L2" s="48" t="s">
        <v>207</v>
      </c>
      <c r="M2" s="11" t="s">
        <v>234</v>
      </c>
    </row>
    <row r="3" spans="1:14" x14ac:dyDescent="0.25">
      <c r="A3" s="39" t="s">
        <v>208</v>
      </c>
      <c r="B3" s="32">
        <v>30664550</v>
      </c>
      <c r="C3" s="32">
        <v>30996550</v>
      </c>
      <c r="D3" s="32">
        <f>+C3*95%</f>
        <v>29446722.5</v>
      </c>
      <c r="E3" s="32">
        <f>+D3</f>
        <v>29446722.5</v>
      </c>
      <c r="F3" s="32">
        <f t="shared" ref="F3:J3" si="0">+E3</f>
        <v>29446722.5</v>
      </c>
      <c r="G3" s="32">
        <f t="shared" si="0"/>
        <v>29446722.5</v>
      </c>
      <c r="H3" s="32">
        <f t="shared" si="0"/>
        <v>29446722.5</v>
      </c>
      <c r="I3" s="32">
        <f t="shared" si="0"/>
        <v>29446722.5</v>
      </c>
      <c r="J3" s="32">
        <f t="shared" si="0"/>
        <v>29446722.5</v>
      </c>
      <c r="K3" s="32">
        <f>B3*65%</f>
        <v>19931957.5</v>
      </c>
      <c r="L3" s="49">
        <f>SUM(B3:K3)</f>
        <v>287720115</v>
      </c>
      <c r="M3" s="45">
        <f>+M17+M19+M20</f>
        <v>1</v>
      </c>
      <c r="N3" s="2">
        <f t="shared" ref="N3:N18" si="1">SUM(B3:K3)-L3</f>
        <v>0</v>
      </c>
    </row>
    <row r="4" spans="1:14" x14ac:dyDescent="0.25">
      <c r="A4" s="7" t="s">
        <v>210</v>
      </c>
      <c r="B4" s="3">
        <v>1724000</v>
      </c>
      <c r="C4" s="3">
        <f>+B4</f>
        <v>1724000</v>
      </c>
      <c r="D4" s="3">
        <f t="shared" ref="D4:J4" si="2">+C4</f>
        <v>1724000</v>
      </c>
      <c r="E4" s="3">
        <f t="shared" si="2"/>
        <v>1724000</v>
      </c>
      <c r="F4" s="3">
        <f t="shared" si="2"/>
        <v>1724000</v>
      </c>
      <c r="G4" s="3">
        <f t="shared" si="2"/>
        <v>1724000</v>
      </c>
      <c r="H4" s="3">
        <f t="shared" si="2"/>
        <v>1724000</v>
      </c>
      <c r="I4" s="3">
        <f t="shared" si="2"/>
        <v>1724000</v>
      </c>
      <c r="J4" s="3">
        <f t="shared" si="2"/>
        <v>1724000</v>
      </c>
      <c r="K4" s="3">
        <f t="shared" ref="K4" si="3">+J4</f>
        <v>1724000</v>
      </c>
      <c r="L4" s="50">
        <f t="shared" ref="L4:L16" si="4">SUM(B4:K4)</f>
        <v>17240000</v>
      </c>
      <c r="M4" s="53">
        <f>+L4/L3</f>
        <v>5.9919342100916373E-2</v>
      </c>
      <c r="N4" s="2">
        <f t="shared" si="1"/>
        <v>0</v>
      </c>
    </row>
    <row r="5" spans="1:14" x14ac:dyDescent="0.25">
      <c r="A5" s="7" t="s">
        <v>211</v>
      </c>
      <c r="B5" s="3">
        <v>1700000</v>
      </c>
      <c r="C5" s="3">
        <f t="shared" ref="C5:J16" si="5">+B5</f>
        <v>1700000</v>
      </c>
      <c r="D5" s="3">
        <f t="shared" si="5"/>
        <v>1700000</v>
      </c>
      <c r="E5" s="3">
        <f t="shared" si="5"/>
        <v>1700000</v>
      </c>
      <c r="F5" s="3">
        <f t="shared" si="5"/>
        <v>1700000</v>
      </c>
      <c r="G5" s="3">
        <f t="shared" si="5"/>
        <v>1700000</v>
      </c>
      <c r="H5" s="3">
        <f t="shared" si="5"/>
        <v>1700000</v>
      </c>
      <c r="I5" s="3">
        <f t="shared" si="5"/>
        <v>1700000</v>
      </c>
      <c r="J5" s="3">
        <f t="shared" si="5"/>
        <v>1700000</v>
      </c>
      <c r="K5" s="3">
        <f t="shared" ref="K5" si="6">+J5</f>
        <v>1700000</v>
      </c>
      <c r="L5" s="50">
        <f t="shared" si="4"/>
        <v>17000000</v>
      </c>
      <c r="M5" s="53">
        <f>+L5/L3</f>
        <v>5.908519812735373E-2</v>
      </c>
      <c r="N5" s="2">
        <f t="shared" si="1"/>
        <v>0</v>
      </c>
    </row>
    <row r="6" spans="1:14" x14ac:dyDescent="0.25">
      <c r="A6" s="7" t="s">
        <v>212</v>
      </c>
      <c r="B6" s="3">
        <v>4157800</v>
      </c>
      <c r="C6" s="3">
        <f t="shared" si="5"/>
        <v>4157800</v>
      </c>
      <c r="D6" s="3">
        <f t="shared" si="5"/>
        <v>4157800</v>
      </c>
      <c r="E6" s="3">
        <f t="shared" si="5"/>
        <v>4157800</v>
      </c>
      <c r="F6" s="3">
        <f t="shared" si="5"/>
        <v>4157800</v>
      </c>
      <c r="G6" s="3">
        <f t="shared" si="5"/>
        <v>4157800</v>
      </c>
      <c r="H6" s="3">
        <f t="shared" si="5"/>
        <v>4157800</v>
      </c>
      <c r="I6" s="3">
        <f t="shared" si="5"/>
        <v>4157800</v>
      </c>
      <c r="J6" s="3">
        <f t="shared" si="5"/>
        <v>4157800</v>
      </c>
      <c r="K6" s="3">
        <f t="shared" ref="K6" si="7">+J6</f>
        <v>4157800</v>
      </c>
      <c r="L6" s="50">
        <f t="shared" si="4"/>
        <v>41578000</v>
      </c>
      <c r="M6" s="53">
        <f>+L6/L3</f>
        <v>0.14450849221994785</v>
      </c>
      <c r="N6" s="2">
        <f t="shared" si="1"/>
        <v>0</v>
      </c>
    </row>
    <row r="7" spans="1:14" x14ac:dyDescent="0.25">
      <c r="A7" s="7" t="s">
        <v>213</v>
      </c>
      <c r="B7" s="3">
        <v>3614500</v>
      </c>
      <c r="C7" s="3">
        <f t="shared" si="5"/>
        <v>3614500</v>
      </c>
      <c r="D7" s="3">
        <f t="shared" si="5"/>
        <v>3614500</v>
      </c>
      <c r="E7" s="3">
        <f t="shared" si="5"/>
        <v>3614500</v>
      </c>
      <c r="F7" s="3">
        <f t="shared" si="5"/>
        <v>3614500</v>
      </c>
      <c r="G7" s="3">
        <f t="shared" si="5"/>
        <v>3614500</v>
      </c>
      <c r="H7" s="3">
        <f t="shared" si="5"/>
        <v>3614500</v>
      </c>
      <c r="I7" s="3">
        <f t="shared" si="5"/>
        <v>3614500</v>
      </c>
      <c r="J7" s="3">
        <f t="shared" si="5"/>
        <v>3614500</v>
      </c>
      <c r="K7" s="3">
        <f t="shared" ref="K7" si="8">+J7</f>
        <v>3614500</v>
      </c>
      <c r="L7" s="50">
        <f t="shared" si="4"/>
        <v>36145000</v>
      </c>
      <c r="M7" s="53">
        <f>+L7/L3</f>
        <v>0.12562555801842357</v>
      </c>
      <c r="N7" s="2">
        <f t="shared" si="1"/>
        <v>0</v>
      </c>
    </row>
    <row r="8" spans="1:14" x14ac:dyDescent="0.25">
      <c r="A8" s="7" t="s">
        <v>214</v>
      </c>
      <c r="B8" s="3">
        <v>2120000</v>
      </c>
      <c r="C8" s="3">
        <f t="shared" si="5"/>
        <v>2120000</v>
      </c>
      <c r="D8" s="3">
        <f t="shared" si="5"/>
        <v>2120000</v>
      </c>
      <c r="E8" s="3">
        <f t="shared" si="5"/>
        <v>2120000</v>
      </c>
      <c r="F8" s="3">
        <f t="shared" si="5"/>
        <v>2120000</v>
      </c>
      <c r="G8" s="3">
        <f t="shared" si="5"/>
        <v>2120000</v>
      </c>
      <c r="H8" s="3">
        <f t="shared" si="5"/>
        <v>2120000</v>
      </c>
      <c r="I8" s="3">
        <f t="shared" si="5"/>
        <v>2120000</v>
      </c>
      <c r="J8" s="3">
        <f t="shared" si="5"/>
        <v>2120000</v>
      </c>
      <c r="K8" s="3">
        <f t="shared" ref="K8" si="9">+J8</f>
        <v>2120000</v>
      </c>
      <c r="L8" s="50">
        <f t="shared" si="4"/>
        <v>21200000</v>
      </c>
      <c r="M8" s="53">
        <f>+L8/L3</f>
        <v>7.3682717664699943E-2</v>
      </c>
      <c r="N8" s="2">
        <f t="shared" si="1"/>
        <v>0</v>
      </c>
    </row>
    <row r="9" spans="1:14" x14ac:dyDescent="0.25">
      <c r="A9" s="7" t="s">
        <v>215</v>
      </c>
      <c r="B9" s="3">
        <v>2059000</v>
      </c>
      <c r="C9" s="3">
        <f t="shared" si="5"/>
        <v>2059000</v>
      </c>
      <c r="D9" s="3">
        <f t="shared" si="5"/>
        <v>2059000</v>
      </c>
      <c r="E9" s="3">
        <f t="shared" si="5"/>
        <v>2059000</v>
      </c>
      <c r="F9" s="3">
        <f t="shared" si="5"/>
        <v>2059000</v>
      </c>
      <c r="G9" s="3">
        <f t="shared" si="5"/>
        <v>2059000</v>
      </c>
      <c r="H9" s="3">
        <f t="shared" si="5"/>
        <v>2059000</v>
      </c>
      <c r="I9" s="3">
        <f t="shared" si="5"/>
        <v>2059000</v>
      </c>
      <c r="J9" s="3">
        <f t="shared" si="5"/>
        <v>2059000</v>
      </c>
      <c r="K9" s="3">
        <f t="shared" ref="K9" si="10">+J9</f>
        <v>2059000</v>
      </c>
      <c r="L9" s="50">
        <f t="shared" si="4"/>
        <v>20590000</v>
      </c>
      <c r="M9" s="53">
        <f>+L9/L3</f>
        <v>7.1562601731894895E-2</v>
      </c>
      <c r="N9" s="2">
        <f t="shared" si="1"/>
        <v>0</v>
      </c>
    </row>
    <row r="10" spans="1:14" x14ac:dyDescent="0.25">
      <c r="A10" s="7" t="s">
        <v>216</v>
      </c>
      <c r="B10" s="3">
        <v>2445000</v>
      </c>
      <c r="C10" s="3">
        <f t="shared" si="5"/>
        <v>2445000</v>
      </c>
      <c r="D10" s="3">
        <f t="shared" si="5"/>
        <v>2445000</v>
      </c>
      <c r="E10" s="3">
        <f t="shared" si="5"/>
        <v>2445000</v>
      </c>
      <c r="F10" s="3">
        <f t="shared" si="5"/>
        <v>2445000</v>
      </c>
      <c r="G10" s="3">
        <f t="shared" si="5"/>
        <v>2445000</v>
      </c>
      <c r="H10" s="3">
        <f t="shared" si="5"/>
        <v>2445000</v>
      </c>
      <c r="I10" s="3">
        <f t="shared" si="5"/>
        <v>2445000</v>
      </c>
      <c r="J10" s="3">
        <f t="shared" si="5"/>
        <v>2445000</v>
      </c>
      <c r="K10" s="3">
        <f t="shared" ref="K10" si="11">+J10</f>
        <v>2445000</v>
      </c>
      <c r="L10" s="50">
        <f t="shared" si="4"/>
        <v>24450000</v>
      </c>
      <c r="M10" s="53">
        <f>+L10/L3</f>
        <v>8.4978417306694046E-2</v>
      </c>
      <c r="N10" s="2">
        <f t="shared" si="1"/>
        <v>0</v>
      </c>
    </row>
    <row r="11" spans="1:14" x14ac:dyDescent="0.25">
      <c r="A11" s="7" t="s">
        <v>217</v>
      </c>
      <c r="B11" s="3">
        <v>1900000</v>
      </c>
      <c r="C11" s="3">
        <f t="shared" si="5"/>
        <v>1900000</v>
      </c>
      <c r="D11" s="3">
        <f t="shared" si="5"/>
        <v>1900000</v>
      </c>
      <c r="E11" s="3">
        <f t="shared" si="5"/>
        <v>1900000</v>
      </c>
      <c r="F11" s="3">
        <f t="shared" si="5"/>
        <v>1900000</v>
      </c>
      <c r="G11" s="3">
        <f t="shared" si="5"/>
        <v>1900000</v>
      </c>
      <c r="H11" s="3">
        <f t="shared" si="5"/>
        <v>1900000</v>
      </c>
      <c r="I11" s="3">
        <f t="shared" si="5"/>
        <v>1900000</v>
      </c>
      <c r="J11" s="3">
        <f t="shared" si="5"/>
        <v>1900000</v>
      </c>
      <c r="K11" s="3">
        <f t="shared" ref="K11" si="12">+J11</f>
        <v>1900000</v>
      </c>
      <c r="L11" s="50">
        <f t="shared" si="4"/>
        <v>19000000</v>
      </c>
      <c r="M11" s="53">
        <f>+L11/L3</f>
        <v>6.603639790704241E-2</v>
      </c>
      <c r="N11" s="2">
        <f t="shared" si="1"/>
        <v>0</v>
      </c>
    </row>
    <row r="12" spans="1:14" x14ac:dyDescent="0.25">
      <c r="A12" s="7" t="s">
        <v>218</v>
      </c>
      <c r="B12" s="3">
        <v>2500000</v>
      </c>
      <c r="C12" s="3">
        <f t="shared" si="5"/>
        <v>2500000</v>
      </c>
      <c r="D12" s="3">
        <f t="shared" si="5"/>
        <v>2500000</v>
      </c>
      <c r="E12" s="3">
        <f t="shared" si="5"/>
        <v>2500000</v>
      </c>
      <c r="F12" s="3">
        <f t="shared" si="5"/>
        <v>2500000</v>
      </c>
      <c r="G12" s="3">
        <f t="shared" si="5"/>
        <v>2500000</v>
      </c>
      <c r="H12" s="3">
        <f t="shared" si="5"/>
        <v>2500000</v>
      </c>
      <c r="I12" s="3">
        <f t="shared" si="5"/>
        <v>2500000</v>
      </c>
      <c r="J12" s="3">
        <f t="shared" si="5"/>
        <v>2500000</v>
      </c>
      <c r="K12" s="3">
        <f t="shared" ref="K12" si="13">+J12</f>
        <v>2500000</v>
      </c>
      <c r="L12" s="50">
        <f t="shared" si="4"/>
        <v>25000000</v>
      </c>
      <c r="M12" s="53">
        <f>+L12/L3</f>
        <v>8.6889997246108422E-2</v>
      </c>
      <c r="N12" s="2">
        <f t="shared" si="1"/>
        <v>0</v>
      </c>
    </row>
    <row r="13" spans="1:14" x14ac:dyDescent="0.25">
      <c r="A13" s="7" t="s">
        <v>219</v>
      </c>
      <c r="B13" s="3">
        <v>350000</v>
      </c>
      <c r="C13" s="3">
        <f t="shared" si="5"/>
        <v>350000</v>
      </c>
      <c r="D13" s="3">
        <f t="shared" si="5"/>
        <v>350000</v>
      </c>
      <c r="E13" s="3">
        <f t="shared" si="5"/>
        <v>350000</v>
      </c>
      <c r="F13" s="3">
        <f t="shared" si="5"/>
        <v>350000</v>
      </c>
      <c r="G13" s="3">
        <f t="shared" si="5"/>
        <v>350000</v>
      </c>
      <c r="H13" s="3">
        <f t="shared" si="5"/>
        <v>350000</v>
      </c>
      <c r="I13" s="3">
        <f t="shared" si="5"/>
        <v>350000</v>
      </c>
      <c r="J13" s="3">
        <f t="shared" si="5"/>
        <v>350000</v>
      </c>
      <c r="K13" s="3">
        <f t="shared" ref="K13" si="14">+J13</f>
        <v>350000</v>
      </c>
      <c r="L13" s="50">
        <f t="shared" si="4"/>
        <v>3500000</v>
      </c>
      <c r="M13" s="53">
        <f>+L13/L3</f>
        <v>1.2164599614455179E-2</v>
      </c>
      <c r="N13" s="2">
        <f t="shared" si="1"/>
        <v>0</v>
      </c>
    </row>
    <row r="14" spans="1:14" x14ac:dyDescent="0.25">
      <c r="A14" s="7" t="s">
        <v>220</v>
      </c>
      <c r="B14" s="3">
        <v>350000</v>
      </c>
      <c r="C14" s="3">
        <f t="shared" si="5"/>
        <v>350000</v>
      </c>
      <c r="D14" s="3">
        <f t="shared" si="5"/>
        <v>350000</v>
      </c>
      <c r="E14" s="3">
        <f t="shared" si="5"/>
        <v>350000</v>
      </c>
      <c r="F14" s="3">
        <f t="shared" si="5"/>
        <v>350000</v>
      </c>
      <c r="G14" s="3">
        <f t="shared" si="5"/>
        <v>350000</v>
      </c>
      <c r="H14" s="3">
        <f t="shared" si="5"/>
        <v>350000</v>
      </c>
      <c r="I14" s="3">
        <f t="shared" si="5"/>
        <v>350000</v>
      </c>
      <c r="J14" s="3">
        <f t="shared" si="5"/>
        <v>350000</v>
      </c>
      <c r="K14" s="3">
        <f t="shared" ref="K14" si="15">+J14</f>
        <v>350000</v>
      </c>
      <c r="L14" s="50">
        <f t="shared" si="4"/>
        <v>3500000</v>
      </c>
      <c r="M14" s="53">
        <f>+L14/L3</f>
        <v>1.2164599614455179E-2</v>
      </c>
      <c r="N14" s="2">
        <f t="shared" si="1"/>
        <v>0</v>
      </c>
    </row>
    <row r="15" spans="1:14" x14ac:dyDescent="0.25">
      <c r="A15" s="7" t="s">
        <v>221</v>
      </c>
      <c r="B15" s="3">
        <v>350000</v>
      </c>
      <c r="C15" s="3">
        <f t="shared" si="5"/>
        <v>350000</v>
      </c>
      <c r="D15" s="3">
        <f t="shared" si="5"/>
        <v>350000</v>
      </c>
      <c r="E15" s="3">
        <f t="shared" si="5"/>
        <v>350000</v>
      </c>
      <c r="F15" s="3">
        <f t="shared" si="5"/>
        <v>350000</v>
      </c>
      <c r="G15" s="3">
        <f t="shared" si="5"/>
        <v>350000</v>
      </c>
      <c r="H15" s="3">
        <f t="shared" si="5"/>
        <v>350000</v>
      </c>
      <c r="I15" s="3">
        <f t="shared" si="5"/>
        <v>350000</v>
      </c>
      <c r="J15" s="3">
        <f t="shared" si="5"/>
        <v>350000</v>
      </c>
      <c r="K15" s="3">
        <f t="shared" ref="K15" si="16">+J15</f>
        <v>350000</v>
      </c>
      <c r="L15" s="50">
        <f t="shared" si="4"/>
        <v>3500000</v>
      </c>
      <c r="M15" s="53">
        <f>+L15/L3</f>
        <v>1.2164599614455179E-2</v>
      </c>
      <c r="N15" s="2">
        <f t="shared" si="1"/>
        <v>0</v>
      </c>
    </row>
    <row r="16" spans="1:14" ht="15.75" thickBot="1" x14ac:dyDescent="0.3">
      <c r="A16" s="7" t="s">
        <v>222</v>
      </c>
      <c r="B16" s="40">
        <v>500000</v>
      </c>
      <c r="C16" s="40">
        <f t="shared" si="5"/>
        <v>500000</v>
      </c>
      <c r="D16" s="40">
        <f t="shared" si="5"/>
        <v>500000</v>
      </c>
      <c r="E16" s="40">
        <f t="shared" si="5"/>
        <v>500000</v>
      </c>
      <c r="F16" s="40">
        <f t="shared" si="5"/>
        <v>500000</v>
      </c>
      <c r="G16" s="40">
        <f t="shared" si="5"/>
        <v>500000</v>
      </c>
      <c r="H16" s="40">
        <f t="shared" si="5"/>
        <v>500000</v>
      </c>
      <c r="I16" s="40">
        <f t="shared" si="5"/>
        <v>500000</v>
      </c>
      <c r="J16" s="40">
        <f t="shared" si="5"/>
        <v>500000</v>
      </c>
      <c r="K16" s="40">
        <f t="shared" ref="K16" si="17">+J16</f>
        <v>500000</v>
      </c>
      <c r="L16" s="50">
        <f t="shared" si="4"/>
        <v>5000000</v>
      </c>
      <c r="M16" s="53">
        <f>+L16/L3</f>
        <v>1.7377999449221686E-2</v>
      </c>
      <c r="N16" s="2">
        <f t="shared" si="1"/>
        <v>0</v>
      </c>
    </row>
    <row r="17" spans="1:14" x14ac:dyDescent="0.25">
      <c r="A17" s="41" t="s">
        <v>232</v>
      </c>
      <c r="B17" s="27">
        <f>SUM(B4:B16)</f>
        <v>23770300</v>
      </c>
      <c r="C17" s="27">
        <f t="shared" ref="C17:L17" si="18">SUM(C4:C16)</f>
        <v>23770300</v>
      </c>
      <c r="D17" s="27">
        <f t="shared" si="18"/>
        <v>23770300</v>
      </c>
      <c r="E17" s="27">
        <f t="shared" si="18"/>
        <v>23770300</v>
      </c>
      <c r="F17" s="27">
        <f t="shared" si="18"/>
        <v>23770300</v>
      </c>
      <c r="G17" s="27">
        <f t="shared" si="18"/>
        <v>23770300</v>
      </c>
      <c r="H17" s="27">
        <f t="shared" si="18"/>
        <v>23770300</v>
      </c>
      <c r="I17" s="27">
        <f t="shared" si="18"/>
        <v>23770300</v>
      </c>
      <c r="J17" s="27">
        <f t="shared" si="18"/>
        <v>23770300</v>
      </c>
      <c r="K17" s="27">
        <f t="shared" si="18"/>
        <v>23770300</v>
      </c>
      <c r="L17" s="27">
        <f t="shared" si="18"/>
        <v>237703000</v>
      </c>
      <c r="M17" s="54">
        <f>+L17/L3</f>
        <v>0.82616052061566847</v>
      </c>
      <c r="N17" s="2">
        <f t="shared" si="1"/>
        <v>0</v>
      </c>
    </row>
    <row r="18" spans="1:14" x14ac:dyDescent="0.25">
      <c r="A18" s="7" t="s">
        <v>231</v>
      </c>
      <c r="B18" s="3">
        <f>+B3-B17</f>
        <v>6894250</v>
      </c>
      <c r="C18" s="3">
        <f t="shared" ref="C18:L18" si="19">+C3-C17</f>
        <v>7226250</v>
      </c>
      <c r="D18" s="3">
        <f t="shared" si="19"/>
        <v>5676422.5</v>
      </c>
      <c r="E18" s="3">
        <f t="shared" si="19"/>
        <v>5676422.5</v>
      </c>
      <c r="F18" s="3">
        <f t="shared" si="19"/>
        <v>5676422.5</v>
      </c>
      <c r="G18" s="3">
        <f t="shared" si="19"/>
        <v>5676422.5</v>
      </c>
      <c r="H18" s="3">
        <f t="shared" si="19"/>
        <v>5676422.5</v>
      </c>
      <c r="I18" s="3">
        <f t="shared" si="19"/>
        <v>5676422.5</v>
      </c>
      <c r="J18" s="3">
        <f t="shared" si="19"/>
        <v>5676422.5</v>
      </c>
      <c r="K18" s="60">
        <f t="shared" si="19"/>
        <v>-3838342.5</v>
      </c>
      <c r="L18" s="50">
        <f t="shared" si="19"/>
        <v>50017115</v>
      </c>
      <c r="M18" s="53"/>
      <c r="N18" s="2">
        <f t="shared" si="1"/>
        <v>0</v>
      </c>
    </row>
    <row r="19" spans="1:14" x14ac:dyDescent="0.25">
      <c r="A19" s="42" t="s">
        <v>209</v>
      </c>
      <c r="B19" s="43">
        <f>(B3-B6-B7)*7%</f>
        <v>1602457.5000000002</v>
      </c>
      <c r="C19" s="43">
        <f t="shared" ref="C19:L19" si="20">(C3-C6-C7)*7%</f>
        <v>1625697.5000000002</v>
      </c>
      <c r="D19" s="43">
        <f t="shared" si="20"/>
        <v>1517209.5750000002</v>
      </c>
      <c r="E19" s="43">
        <f t="shared" si="20"/>
        <v>1517209.5750000002</v>
      </c>
      <c r="F19" s="43">
        <f t="shared" si="20"/>
        <v>1517209.5750000002</v>
      </c>
      <c r="G19" s="43">
        <f t="shared" si="20"/>
        <v>1517209.5750000002</v>
      </c>
      <c r="H19" s="43">
        <f t="shared" si="20"/>
        <v>1517209.5750000002</v>
      </c>
      <c r="I19" s="43">
        <f t="shared" si="20"/>
        <v>1517209.5750000002</v>
      </c>
      <c r="J19" s="43">
        <f t="shared" si="20"/>
        <v>1517209.5750000002</v>
      </c>
      <c r="K19" s="43">
        <f t="shared" si="20"/>
        <v>851176.02500000002</v>
      </c>
      <c r="L19" s="51">
        <f t="shared" si="20"/>
        <v>14699798.050000001</v>
      </c>
      <c r="M19" s="46">
        <f>+L19/L3</f>
        <v>5.1090616483314005E-2</v>
      </c>
      <c r="N19" s="2">
        <f>SUM(B19:K19)-L19</f>
        <v>0</v>
      </c>
    </row>
    <row r="20" spans="1:14" x14ac:dyDescent="0.25">
      <c r="A20" s="9" t="s">
        <v>223</v>
      </c>
      <c r="B20" s="5">
        <f t="shared" ref="B20:L20" si="21">+B18-B19</f>
        <v>5291792.5</v>
      </c>
      <c r="C20" s="5">
        <f t="shared" si="21"/>
        <v>5600552.5</v>
      </c>
      <c r="D20" s="5">
        <f t="shared" si="21"/>
        <v>4159212.9249999998</v>
      </c>
      <c r="E20" s="5">
        <f t="shared" si="21"/>
        <v>4159212.9249999998</v>
      </c>
      <c r="F20" s="5">
        <f t="shared" si="21"/>
        <v>4159212.9249999998</v>
      </c>
      <c r="G20" s="5">
        <f t="shared" si="21"/>
        <v>4159212.9249999998</v>
      </c>
      <c r="H20" s="5">
        <f t="shared" si="21"/>
        <v>4159212.9249999998</v>
      </c>
      <c r="I20" s="5">
        <f t="shared" si="21"/>
        <v>4159212.9249999998</v>
      </c>
      <c r="J20" s="5">
        <f t="shared" si="21"/>
        <v>4159212.9249999998</v>
      </c>
      <c r="K20" s="80">
        <f t="shared" si="21"/>
        <v>-4689518.5250000004</v>
      </c>
      <c r="L20" s="52">
        <f t="shared" si="21"/>
        <v>35317316.950000003</v>
      </c>
      <c r="M20" s="47">
        <f>+L20/L3</f>
        <v>0.12274886290101755</v>
      </c>
      <c r="N20" s="2">
        <f t="shared" ref="N20" si="22">SUM(B20:K20)-L20</f>
        <v>0</v>
      </c>
    </row>
    <row r="21" spans="1:14" x14ac:dyDescent="0.25">
      <c r="B21" s="86">
        <f>+B20-340000</f>
        <v>4951792.5</v>
      </c>
      <c r="C21" s="86">
        <f t="shared" ref="C21:K21" si="23">+C20-340000</f>
        <v>5260552.5</v>
      </c>
      <c r="D21" s="86">
        <f t="shared" si="23"/>
        <v>3819212.9249999998</v>
      </c>
      <c r="E21" s="86">
        <f t="shared" si="23"/>
        <v>3819212.9249999998</v>
      </c>
      <c r="F21" s="86">
        <f t="shared" si="23"/>
        <v>3819212.9249999998</v>
      </c>
      <c r="G21" s="86">
        <f t="shared" si="23"/>
        <v>3819212.9249999998</v>
      </c>
      <c r="H21" s="86">
        <f t="shared" si="23"/>
        <v>3819212.9249999998</v>
      </c>
      <c r="I21" s="86">
        <f t="shared" si="23"/>
        <v>3819212.9249999998</v>
      </c>
      <c r="J21" s="86">
        <f t="shared" si="23"/>
        <v>3819212.9249999998</v>
      </c>
      <c r="K21" s="86">
        <f t="shared" si="23"/>
        <v>-5029518.5250000004</v>
      </c>
      <c r="L21" s="12"/>
    </row>
    <row r="23" spans="1:14" x14ac:dyDescent="0.25">
      <c r="A23" s="99" t="s">
        <v>233</v>
      </c>
      <c r="B23" s="99"/>
      <c r="C23" s="99"/>
      <c r="D23" s="99"/>
      <c r="E23" s="99"/>
      <c r="F23" s="99"/>
    </row>
  </sheetData>
  <mergeCells count="1">
    <mergeCell ref="A23:F2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workbookViewId="0">
      <selection activeCell="H12" sqref="H12"/>
    </sheetView>
  </sheetViews>
  <sheetFormatPr baseColWidth="10" defaultRowHeight="15" x14ac:dyDescent="0.25"/>
  <cols>
    <col min="2" max="11" width="12.5703125" bestFit="1" customWidth="1"/>
    <col min="12" max="12" width="13.5703125" bestFit="1" customWidth="1"/>
    <col min="13" max="13" width="13.5703125" customWidth="1"/>
    <col min="14" max="15" width="12.5703125" bestFit="1" customWidth="1"/>
  </cols>
  <sheetData>
    <row r="1" spans="1:15" x14ac:dyDescent="0.25">
      <c r="A1" s="7"/>
      <c r="B1" s="10" t="s">
        <v>195</v>
      </c>
      <c r="C1" s="10" t="s">
        <v>196</v>
      </c>
      <c r="D1" s="11" t="s">
        <v>224</v>
      </c>
      <c r="E1" s="11" t="s">
        <v>198</v>
      </c>
      <c r="F1" s="11" t="s">
        <v>199</v>
      </c>
      <c r="G1" s="11" t="s">
        <v>200</v>
      </c>
      <c r="H1" s="11" t="s">
        <v>201</v>
      </c>
      <c r="I1" s="11" t="s">
        <v>202</v>
      </c>
      <c r="J1" s="11" t="s">
        <v>203</v>
      </c>
      <c r="K1" s="11" t="s">
        <v>204</v>
      </c>
      <c r="L1" s="11" t="s">
        <v>205</v>
      </c>
      <c r="M1" s="11" t="s">
        <v>206</v>
      </c>
      <c r="N1" s="11" t="s">
        <v>207</v>
      </c>
    </row>
    <row r="2" spans="1:15" x14ac:dyDescent="0.25">
      <c r="A2" s="7" t="s">
        <v>208</v>
      </c>
      <c r="B2" s="3">
        <v>7500000</v>
      </c>
      <c r="C2" s="3">
        <v>8450000</v>
      </c>
      <c r="D2" s="3">
        <v>8450000</v>
      </c>
      <c r="E2" s="3">
        <v>8450000</v>
      </c>
      <c r="F2" s="3">
        <v>8450000</v>
      </c>
      <c r="G2" s="3">
        <f>8450000/2</f>
        <v>4225000</v>
      </c>
      <c r="H2" s="3">
        <v>0</v>
      </c>
      <c r="I2" s="3">
        <f>8450000/2</f>
        <v>4225000</v>
      </c>
      <c r="J2" s="3">
        <f>8450000-1600000</f>
        <v>6850000</v>
      </c>
      <c r="K2" s="3">
        <f>8450000-1600000</f>
        <v>6850000</v>
      </c>
      <c r="L2" s="3">
        <f>8450000-1600000</f>
        <v>6850000</v>
      </c>
      <c r="M2" s="3">
        <f>8450000-1600000</f>
        <v>6850000</v>
      </c>
      <c r="N2" s="3">
        <f t="shared" ref="N2:N7" si="0">SUM(C2:M2)</f>
        <v>69650000</v>
      </c>
    </row>
    <row r="3" spans="1:15" x14ac:dyDescent="0.25">
      <c r="A3" s="7" t="s">
        <v>210</v>
      </c>
      <c r="B3" s="3">
        <v>1352000</v>
      </c>
      <c r="C3" s="3">
        <v>1552000</v>
      </c>
      <c r="D3" s="3">
        <v>1552000</v>
      </c>
      <c r="E3" s="3">
        <v>1552000</v>
      </c>
      <c r="F3" s="3">
        <v>1552000</v>
      </c>
      <c r="G3" s="3">
        <f>+F3/2</f>
        <v>776000</v>
      </c>
      <c r="H3" s="3">
        <v>0</v>
      </c>
      <c r="I3" s="3">
        <f>+G3</f>
        <v>776000</v>
      </c>
      <c r="J3" s="3">
        <v>1400000</v>
      </c>
      <c r="K3" s="3">
        <v>1400000</v>
      </c>
      <c r="L3" s="3">
        <v>1400000</v>
      </c>
      <c r="M3" s="3">
        <v>1400000</v>
      </c>
      <c r="N3" s="3">
        <f t="shared" si="0"/>
        <v>13360000</v>
      </c>
    </row>
    <row r="4" spans="1:15" x14ac:dyDescent="0.25">
      <c r="A4" s="7" t="s">
        <v>211</v>
      </c>
      <c r="B4" s="3">
        <v>1400000</v>
      </c>
      <c r="C4" s="3">
        <v>1400000</v>
      </c>
      <c r="D4" s="3">
        <v>1400000</v>
      </c>
      <c r="E4" s="3">
        <v>1400000</v>
      </c>
      <c r="F4" s="3">
        <v>1400000</v>
      </c>
      <c r="G4" s="3">
        <f>1400000/2</f>
        <v>700000</v>
      </c>
      <c r="H4" s="3">
        <v>0</v>
      </c>
      <c r="I4" s="3">
        <f>1400000/2</f>
        <v>700000</v>
      </c>
      <c r="J4" s="3">
        <v>1400000</v>
      </c>
      <c r="K4" s="3">
        <v>1400000</v>
      </c>
      <c r="L4" s="3">
        <v>1400000</v>
      </c>
      <c r="M4" s="3">
        <v>1400000</v>
      </c>
      <c r="N4" s="3">
        <f t="shared" si="0"/>
        <v>12600000</v>
      </c>
    </row>
    <row r="5" spans="1:15" x14ac:dyDescent="0.25">
      <c r="A5" s="7" t="s">
        <v>212</v>
      </c>
      <c r="B5" s="3">
        <v>1400000</v>
      </c>
      <c r="C5" s="3">
        <v>1400000</v>
      </c>
      <c r="D5" s="3">
        <v>1400000</v>
      </c>
      <c r="E5" s="3">
        <v>1400000</v>
      </c>
      <c r="F5" s="3">
        <v>1400000</v>
      </c>
      <c r="G5" s="3">
        <f>1400000/2</f>
        <v>700000</v>
      </c>
      <c r="H5" s="3">
        <v>0</v>
      </c>
      <c r="I5" s="3">
        <f>1400000/2</f>
        <v>700000</v>
      </c>
      <c r="J5" s="3">
        <v>1400000</v>
      </c>
      <c r="K5" s="3">
        <v>1400000</v>
      </c>
      <c r="L5" s="3">
        <v>1400000</v>
      </c>
      <c r="M5" s="3">
        <v>1400000</v>
      </c>
      <c r="N5" s="3">
        <f t="shared" si="0"/>
        <v>12600000</v>
      </c>
    </row>
    <row r="6" spans="1:15" x14ac:dyDescent="0.25">
      <c r="A6" s="7" t="s">
        <v>213</v>
      </c>
      <c r="B6" s="3">
        <v>1400000</v>
      </c>
      <c r="C6" s="3">
        <v>1400000</v>
      </c>
      <c r="D6" s="3">
        <v>1400000</v>
      </c>
      <c r="E6" s="3">
        <v>1400000</v>
      </c>
      <c r="F6" s="3">
        <v>1400000</v>
      </c>
      <c r="G6" s="3">
        <f>1400000/2</f>
        <v>700000</v>
      </c>
      <c r="H6" s="3">
        <v>0</v>
      </c>
      <c r="I6" s="3">
        <f>1400000/2</f>
        <v>700000</v>
      </c>
      <c r="J6" s="3">
        <v>1400000</v>
      </c>
      <c r="K6" s="3">
        <v>1400000</v>
      </c>
      <c r="L6" s="3">
        <v>1400000</v>
      </c>
      <c r="M6" s="3">
        <v>1400000</v>
      </c>
      <c r="N6" s="3">
        <f t="shared" si="0"/>
        <v>12600000</v>
      </c>
    </row>
    <row r="7" spans="1:15" x14ac:dyDescent="0.25">
      <c r="A7" s="7" t="s">
        <v>214</v>
      </c>
      <c r="B7" s="3">
        <v>710000</v>
      </c>
      <c r="C7" s="3">
        <v>1400000</v>
      </c>
      <c r="D7" s="3">
        <v>1400000</v>
      </c>
      <c r="E7" s="3">
        <v>1400000</v>
      </c>
      <c r="F7" s="3">
        <v>1400000</v>
      </c>
      <c r="G7" s="3">
        <v>700000</v>
      </c>
      <c r="H7" s="3">
        <v>0</v>
      </c>
      <c r="I7" s="3">
        <v>700000</v>
      </c>
      <c r="J7" s="3">
        <v>0</v>
      </c>
      <c r="K7" s="3">
        <v>0</v>
      </c>
      <c r="L7" s="3">
        <v>0</v>
      </c>
      <c r="M7" s="3">
        <v>0</v>
      </c>
      <c r="N7" s="3">
        <f t="shared" si="0"/>
        <v>7000000</v>
      </c>
    </row>
    <row r="8" spans="1:15" x14ac:dyDescent="0.25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2"/>
    </row>
    <row r="9" spans="1:15" x14ac:dyDescent="0.25">
      <c r="A9" s="7"/>
      <c r="B9" s="3"/>
      <c r="C9" s="3"/>
      <c r="D9" s="3">
        <f t="shared" ref="D9:K9" si="1">+C9</f>
        <v>0</v>
      </c>
      <c r="E9" s="3">
        <f t="shared" si="1"/>
        <v>0</v>
      </c>
      <c r="F9" s="3">
        <f t="shared" si="1"/>
        <v>0</v>
      </c>
      <c r="G9" s="3">
        <f t="shared" si="1"/>
        <v>0</v>
      </c>
      <c r="H9" s="3">
        <f t="shared" si="1"/>
        <v>0</v>
      </c>
      <c r="I9" s="3">
        <f t="shared" si="1"/>
        <v>0</v>
      </c>
      <c r="J9" s="3">
        <f t="shared" si="1"/>
        <v>0</v>
      </c>
      <c r="K9" s="3">
        <f t="shared" si="1"/>
        <v>0</v>
      </c>
      <c r="L9" s="3">
        <f t="shared" ref="L9" si="2">+K9</f>
        <v>0</v>
      </c>
      <c r="M9" s="3"/>
      <c r="N9" s="3">
        <f>SUM(C9:L9)</f>
        <v>0</v>
      </c>
    </row>
    <row r="10" spans="1:15" x14ac:dyDescent="0.25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>
        <f>SUM(C10:L10)</f>
        <v>0</v>
      </c>
    </row>
    <row r="11" spans="1:15" x14ac:dyDescent="0.25">
      <c r="A11" s="9" t="s">
        <v>223</v>
      </c>
      <c r="B11" s="5">
        <f>+B2-B3-B4-B5-B6-B7</f>
        <v>1238000</v>
      </c>
      <c r="C11" s="5">
        <f t="shared" ref="C11:N11" si="3">+C2-C3-C4-C5-C6-C7</f>
        <v>1298000</v>
      </c>
      <c r="D11" s="5">
        <f t="shared" si="3"/>
        <v>1298000</v>
      </c>
      <c r="E11" s="5">
        <f t="shared" si="3"/>
        <v>1298000</v>
      </c>
      <c r="F11" s="5">
        <f t="shared" si="3"/>
        <v>1298000</v>
      </c>
      <c r="G11" s="5">
        <f t="shared" si="3"/>
        <v>649000</v>
      </c>
      <c r="H11" s="5">
        <f t="shared" si="3"/>
        <v>0</v>
      </c>
      <c r="I11" s="5">
        <f t="shared" si="3"/>
        <v>649000</v>
      </c>
      <c r="J11" s="5">
        <f t="shared" si="3"/>
        <v>1250000</v>
      </c>
      <c r="K11" s="5">
        <f t="shared" si="3"/>
        <v>1250000</v>
      </c>
      <c r="L11" s="5">
        <f t="shared" si="3"/>
        <v>1250000</v>
      </c>
      <c r="M11" s="5">
        <f t="shared" si="3"/>
        <v>1250000</v>
      </c>
      <c r="N11" s="5">
        <f t="shared" si="3"/>
        <v>11490000</v>
      </c>
    </row>
    <row r="12" spans="1:15" x14ac:dyDescent="0.25">
      <c r="B12" s="12">
        <f>+B11/B2</f>
        <v>0.16506666666666667</v>
      </c>
      <c r="C12" s="12">
        <f t="shared" ref="C12:N12" si="4">+C11/C2</f>
        <v>0.15360946745562129</v>
      </c>
      <c r="D12" s="12">
        <f t="shared" si="4"/>
        <v>0.15360946745562129</v>
      </c>
      <c r="E12" s="12">
        <f t="shared" si="4"/>
        <v>0.15360946745562129</v>
      </c>
      <c r="F12" s="12">
        <f t="shared" si="4"/>
        <v>0.15360946745562129</v>
      </c>
      <c r="G12" s="12">
        <f t="shared" si="4"/>
        <v>0.15360946745562129</v>
      </c>
      <c r="H12" s="12"/>
      <c r="I12" s="12">
        <f t="shared" si="4"/>
        <v>0.15360946745562129</v>
      </c>
      <c r="J12" s="12">
        <f t="shared" si="4"/>
        <v>0.18248175182481752</v>
      </c>
      <c r="K12" s="12">
        <f t="shared" si="4"/>
        <v>0.18248175182481752</v>
      </c>
      <c r="L12" s="12">
        <f t="shared" si="4"/>
        <v>0.18248175182481752</v>
      </c>
      <c r="M12" s="12">
        <f t="shared" si="4"/>
        <v>0.18248175182481752</v>
      </c>
      <c r="N12" s="12">
        <f t="shared" si="4"/>
        <v>0.16496769562096195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E28"/>
  <sheetViews>
    <sheetView workbookViewId="0">
      <selection activeCell="B15" sqref="B15"/>
    </sheetView>
  </sheetViews>
  <sheetFormatPr baseColWidth="10" defaultRowHeight="15" x14ac:dyDescent="0.25"/>
  <cols>
    <col min="1" max="1" width="13" bestFit="1" customWidth="1"/>
    <col min="2" max="2" width="36.7109375" bestFit="1" customWidth="1"/>
    <col min="3" max="7" width="14.28515625" bestFit="1" customWidth="1"/>
    <col min="8" max="8" width="14.140625" bestFit="1" customWidth="1"/>
    <col min="9" max="9" width="12.5703125" bestFit="1" customWidth="1"/>
    <col min="10" max="13" width="14.28515625" bestFit="1" customWidth="1"/>
    <col min="14" max="14" width="14.140625" bestFit="1" customWidth="1"/>
    <col min="15" max="15" width="12.5703125" bestFit="1" customWidth="1"/>
  </cols>
  <sheetData>
    <row r="2" spans="1:161" x14ac:dyDescent="0.25">
      <c r="B2" s="61" t="s">
        <v>255</v>
      </c>
    </row>
    <row r="5" spans="1:161" ht="15.75" x14ac:dyDescent="0.25">
      <c r="A5" s="88" t="s">
        <v>253</v>
      </c>
      <c r="B5" s="88" t="s">
        <v>254</v>
      </c>
      <c r="C5" s="89" t="s">
        <v>195</v>
      </c>
      <c r="D5" s="89" t="s">
        <v>196</v>
      </c>
      <c r="E5" s="89" t="s">
        <v>197</v>
      </c>
      <c r="F5" s="89" t="s">
        <v>198</v>
      </c>
      <c r="G5" s="89" t="s">
        <v>199</v>
      </c>
      <c r="H5" s="89" t="s">
        <v>200</v>
      </c>
      <c r="I5" s="89" t="s">
        <v>201</v>
      </c>
      <c r="J5" s="89" t="s">
        <v>202</v>
      </c>
      <c r="K5" s="89" t="s">
        <v>203</v>
      </c>
      <c r="L5" s="89" t="s">
        <v>204</v>
      </c>
      <c r="M5" s="89" t="s">
        <v>205</v>
      </c>
      <c r="N5" s="89" t="s">
        <v>206</v>
      </c>
      <c r="O5" s="88" t="s">
        <v>257</v>
      </c>
    </row>
    <row r="6" spans="1:161" x14ac:dyDescent="0.25">
      <c r="A6" s="87" t="str">
        <f>+PRESUPUESTO!A7</f>
        <v>41450502</v>
      </c>
      <c r="B6" s="87" t="s">
        <v>252</v>
      </c>
      <c r="C6" s="87">
        <f>+PRESUPUESTO!D7</f>
        <v>1980000</v>
      </c>
      <c r="D6" s="87">
        <f>+PRESUPUESTO!E7</f>
        <v>4140000</v>
      </c>
      <c r="E6" s="87">
        <f>+PRESUPUESTO!F7</f>
        <v>4140000</v>
      </c>
      <c r="F6" s="87">
        <f>+PRESUPUESTO!G7</f>
        <v>4140000</v>
      </c>
      <c r="G6" s="87">
        <f>+PRESUPUESTO!H7</f>
        <v>4140000</v>
      </c>
      <c r="H6" s="87">
        <f>+PRESUPUESTO!I7</f>
        <v>4140000</v>
      </c>
      <c r="I6" s="87">
        <f>+PRESUPUESTO!J7</f>
        <v>0</v>
      </c>
      <c r="J6" s="87">
        <f>+PRESUPUESTO!K7</f>
        <v>0</v>
      </c>
      <c r="K6" s="87">
        <f>+PRESUPUESTO!L7</f>
        <v>4140000</v>
      </c>
      <c r="L6" s="87">
        <f>+PRESUPUESTO!M7</f>
        <v>4140000</v>
      </c>
      <c r="M6" s="87">
        <f>+PRESUPUESTO!N7</f>
        <v>4140000</v>
      </c>
      <c r="N6" s="87">
        <f>+PRESUPUESTO!O7</f>
        <v>4140000</v>
      </c>
      <c r="O6" s="2">
        <f>SUM(C6:N6)</f>
        <v>39240000</v>
      </c>
    </row>
    <row r="7" spans="1:161" x14ac:dyDescent="0.25">
      <c r="A7" s="75" t="s">
        <v>175</v>
      </c>
      <c r="B7" s="75" t="s">
        <v>176</v>
      </c>
      <c r="C7" s="75">
        <f>SUM(C10:C28)</f>
        <v>1736172.7978333333</v>
      </c>
      <c r="D7" s="75">
        <f t="shared" ref="D7:N7" si="0">SUM(D10:D28)</f>
        <v>2536785.5956666665</v>
      </c>
      <c r="E7" s="75">
        <f t="shared" si="0"/>
        <v>3608785.5956666665</v>
      </c>
      <c r="F7" s="75">
        <f t="shared" si="0"/>
        <v>2536785.5956666665</v>
      </c>
      <c r="G7" s="75">
        <f t="shared" si="0"/>
        <v>2536785.5956666665</v>
      </c>
      <c r="H7" s="75">
        <f t="shared" si="0"/>
        <v>2783785.5956666665</v>
      </c>
      <c r="I7" s="75">
        <f t="shared" si="0"/>
        <v>510560</v>
      </c>
      <c r="J7" s="75">
        <f t="shared" si="0"/>
        <v>1335560</v>
      </c>
      <c r="K7" s="75">
        <f t="shared" si="0"/>
        <v>2561785.5956666665</v>
      </c>
      <c r="L7" s="75">
        <f t="shared" si="0"/>
        <v>3633785.5956666665</v>
      </c>
      <c r="M7" s="75">
        <f t="shared" si="0"/>
        <v>2561785.5956666665</v>
      </c>
      <c r="N7" s="75">
        <f t="shared" si="0"/>
        <v>2561785.5956666665</v>
      </c>
      <c r="O7" s="2">
        <f>SUM(C7:N7)</f>
        <v>28904363.158833329</v>
      </c>
    </row>
    <row r="8" spans="1:161" s="17" customFormat="1" x14ac:dyDescent="0.25">
      <c r="B8" s="68" t="s">
        <v>256</v>
      </c>
      <c r="C8" s="68">
        <f>+C6-C7</f>
        <v>243827.20216666674</v>
      </c>
      <c r="D8" s="68">
        <f t="shared" ref="D8:N8" si="1">+D6-D7</f>
        <v>1603214.4043333335</v>
      </c>
      <c r="E8" s="68">
        <f t="shared" si="1"/>
        <v>531214.40433333348</v>
      </c>
      <c r="F8" s="68">
        <f t="shared" si="1"/>
        <v>1603214.4043333335</v>
      </c>
      <c r="G8" s="68">
        <f t="shared" si="1"/>
        <v>1603214.4043333335</v>
      </c>
      <c r="H8" s="68">
        <f t="shared" si="1"/>
        <v>1356214.4043333335</v>
      </c>
      <c r="I8" s="68">
        <f t="shared" si="1"/>
        <v>-510560</v>
      </c>
      <c r="J8" s="68">
        <f t="shared" si="1"/>
        <v>-1335560</v>
      </c>
      <c r="K8" s="68">
        <f t="shared" si="1"/>
        <v>1578214.4043333335</v>
      </c>
      <c r="L8" s="68">
        <f t="shared" si="1"/>
        <v>506214.40433333348</v>
      </c>
      <c r="M8" s="68">
        <f t="shared" si="1"/>
        <v>1578214.4043333335</v>
      </c>
      <c r="N8" s="68">
        <f t="shared" si="1"/>
        <v>1578214.4043333335</v>
      </c>
      <c r="O8" s="2">
        <f>SUM(C8:N8)</f>
        <v>10335636.841166668</v>
      </c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</row>
    <row r="9" spans="1:161" s="37" customFormat="1" x14ac:dyDescent="0.25"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6"/>
    </row>
    <row r="10" spans="1:161" x14ac:dyDescent="0.25">
      <c r="A10" s="3" t="s">
        <v>179</v>
      </c>
      <c r="B10" s="3" t="s">
        <v>180</v>
      </c>
      <c r="C10" s="3">
        <f>+PRESUPUESTO!D127</f>
        <v>300000</v>
      </c>
      <c r="D10" s="3">
        <f>+PRESUPUESTO!E127</f>
        <v>500000</v>
      </c>
      <c r="E10" s="3">
        <f>+PRESUPUESTO!F127</f>
        <v>500000</v>
      </c>
      <c r="F10" s="3">
        <f>+PRESUPUESTO!G127</f>
        <v>500000</v>
      </c>
      <c r="G10" s="3">
        <f>+PRESUPUESTO!H127</f>
        <v>500000</v>
      </c>
      <c r="H10" s="3">
        <f>+PRESUPUESTO!I127</f>
        <v>0</v>
      </c>
      <c r="I10" s="3">
        <f>+PRESUPUESTO!J127</f>
        <v>0</v>
      </c>
      <c r="J10" s="3">
        <f>+PRESUPUESTO!K127</f>
        <v>500000</v>
      </c>
      <c r="K10" s="3">
        <f>+PRESUPUESTO!L127</f>
        <v>500000</v>
      </c>
      <c r="L10" s="3">
        <f>+PRESUPUESTO!M127</f>
        <v>500000</v>
      </c>
      <c r="M10" s="3">
        <f>+PRESUPUESTO!N127</f>
        <v>500000</v>
      </c>
      <c r="N10" s="3">
        <f>+PRESUPUESTO!O127</f>
        <v>500000</v>
      </c>
      <c r="O10" s="2">
        <f t="shared" ref="O10:O28" si="2">SUM(C10:N10)</f>
        <v>4800000</v>
      </c>
    </row>
    <row r="11" spans="1:161" x14ac:dyDescent="0.25">
      <c r="A11" s="3" t="s">
        <v>181</v>
      </c>
      <c r="B11" s="3" t="s">
        <v>182</v>
      </c>
      <c r="C11" s="3">
        <f>+PRESUPUESTO!D128</f>
        <v>120000</v>
      </c>
      <c r="D11" s="3">
        <f>+PRESUPUESTO!E128</f>
        <v>120000</v>
      </c>
      <c r="E11" s="3">
        <f>+PRESUPUESTO!F128</f>
        <v>120000</v>
      </c>
      <c r="F11" s="3">
        <f>+PRESUPUESTO!G128</f>
        <v>120000</v>
      </c>
      <c r="G11" s="3">
        <f>+PRESUPUESTO!H128</f>
        <v>120000</v>
      </c>
      <c r="H11" s="3">
        <f>+PRESUPUESTO!I128</f>
        <v>120000</v>
      </c>
      <c r="I11" s="3">
        <f>+PRESUPUESTO!J128</f>
        <v>120000</v>
      </c>
      <c r="J11" s="3">
        <f>+PRESUPUESTO!K128</f>
        <v>120000</v>
      </c>
      <c r="K11" s="3">
        <f>+PRESUPUESTO!L128</f>
        <v>120000</v>
      </c>
      <c r="L11" s="3">
        <f>+PRESUPUESTO!M128</f>
        <v>120000</v>
      </c>
      <c r="M11" s="3">
        <f>+PRESUPUESTO!N128</f>
        <v>120000</v>
      </c>
      <c r="N11" s="3">
        <f>+PRESUPUESTO!O128</f>
        <v>120000</v>
      </c>
      <c r="O11" s="2">
        <f t="shared" si="2"/>
        <v>1440000</v>
      </c>
    </row>
    <row r="12" spans="1:161" x14ac:dyDescent="0.25">
      <c r="A12" s="3" t="s">
        <v>183</v>
      </c>
      <c r="B12" s="3" t="s">
        <v>184</v>
      </c>
      <c r="C12" s="3">
        <f>+PRESUPUESTO!D129</f>
        <v>0</v>
      </c>
      <c r="D12" s="3">
        <f>+PRESUPUESTO!E129</f>
        <v>0</v>
      </c>
      <c r="E12" s="3">
        <f>+PRESUPUESTO!F129</f>
        <v>0</v>
      </c>
      <c r="F12" s="3">
        <f>+PRESUPUESTO!G129</f>
        <v>0</v>
      </c>
      <c r="G12" s="3">
        <f>+PRESUPUESTO!H129</f>
        <v>0</v>
      </c>
      <c r="H12" s="3">
        <f>+PRESUPUESTO!I129</f>
        <v>0</v>
      </c>
      <c r="I12" s="3">
        <f>+PRESUPUESTO!J129</f>
        <v>0</v>
      </c>
      <c r="J12" s="3">
        <f>+PRESUPUESTO!K129</f>
        <v>0</v>
      </c>
      <c r="K12" s="3">
        <f>+PRESUPUESTO!L129</f>
        <v>0</v>
      </c>
      <c r="L12" s="3">
        <f>+PRESUPUESTO!M129</f>
        <v>0</v>
      </c>
      <c r="M12" s="3">
        <f>+PRESUPUESTO!N129</f>
        <v>0</v>
      </c>
      <c r="N12" s="3">
        <f>+PRESUPUESTO!O129</f>
        <v>0</v>
      </c>
      <c r="O12" s="2">
        <f t="shared" si="2"/>
        <v>0</v>
      </c>
    </row>
    <row r="13" spans="1:161" x14ac:dyDescent="0.25">
      <c r="A13" s="3" t="s">
        <v>185</v>
      </c>
      <c r="B13" s="3" t="s">
        <v>186</v>
      </c>
      <c r="C13" s="3">
        <f>+PRESUPUESTO!D130</f>
        <v>325000</v>
      </c>
      <c r="D13" s="3">
        <f>+PRESUPUESTO!E130</f>
        <v>325000</v>
      </c>
      <c r="E13" s="3">
        <f>+PRESUPUESTO!F130</f>
        <v>325000</v>
      </c>
      <c r="F13" s="3">
        <f>+PRESUPUESTO!G130</f>
        <v>325000</v>
      </c>
      <c r="G13" s="3">
        <f>+PRESUPUESTO!H130</f>
        <v>325000</v>
      </c>
      <c r="H13" s="3">
        <f>+PRESUPUESTO!I130</f>
        <v>0</v>
      </c>
      <c r="I13" s="3">
        <f>+PRESUPUESTO!J130</f>
        <v>0</v>
      </c>
      <c r="J13" s="3">
        <f>+PRESUPUESTO!K130</f>
        <v>325000</v>
      </c>
      <c r="K13" s="3">
        <f>+PRESUPUESTO!L130</f>
        <v>350000</v>
      </c>
      <c r="L13" s="3">
        <f>+PRESUPUESTO!M130</f>
        <v>350000</v>
      </c>
      <c r="M13" s="3">
        <f>+PRESUPUESTO!N130</f>
        <v>350000</v>
      </c>
      <c r="N13" s="3">
        <f>+PRESUPUESTO!O130</f>
        <v>350000</v>
      </c>
      <c r="O13" s="2">
        <f t="shared" si="2"/>
        <v>3350000</v>
      </c>
    </row>
    <row r="14" spans="1:161" x14ac:dyDescent="0.25">
      <c r="A14" s="3" t="s">
        <v>187</v>
      </c>
      <c r="B14" s="3" t="s">
        <v>188</v>
      </c>
      <c r="C14" s="3">
        <f>+PRESUPUESTO!D131</f>
        <v>0</v>
      </c>
      <c r="D14" s="3">
        <f>+PRESUPUESTO!E131</f>
        <v>0</v>
      </c>
      <c r="E14" s="3">
        <f>+PRESUPUESTO!F131</f>
        <v>1072000</v>
      </c>
      <c r="F14" s="3">
        <f>+PRESUPUESTO!G131</f>
        <v>0</v>
      </c>
      <c r="G14" s="3">
        <f>+PRESUPUESTO!H131</f>
        <v>0</v>
      </c>
      <c r="H14" s="3">
        <f>+PRESUPUESTO!I131</f>
        <v>1072000</v>
      </c>
      <c r="I14" s="3">
        <f>+PRESUPUESTO!J131</f>
        <v>0</v>
      </c>
      <c r="J14" s="3">
        <f>+PRESUPUESTO!K131</f>
        <v>0</v>
      </c>
      <c r="K14" s="3">
        <f>+PRESUPUESTO!L131</f>
        <v>0</v>
      </c>
      <c r="L14" s="3">
        <f>+PRESUPUESTO!M131</f>
        <v>1072000</v>
      </c>
      <c r="M14" s="3">
        <f>+PRESUPUESTO!N131</f>
        <v>0</v>
      </c>
      <c r="N14" s="3">
        <f>+PRESUPUESTO!O131</f>
        <v>0</v>
      </c>
      <c r="O14" s="2">
        <f t="shared" si="2"/>
        <v>3216000</v>
      </c>
    </row>
    <row r="15" spans="1:161" x14ac:dyDescent="0.25">
      <c r="A15" s="3" t="s">
        <v>189</v>
      </c>
      <c r="B15" s="3" t="s">
        <v>190</v>
      </c>
      <c r="C15" s="3">
        <f>+PRESUPUESTO!D132</f>
        <v>161250</v>
      </c>
      <c r="D15" s="3">
        <f>+PRESUPUESTO!E132</f>
        <v>161250</v>
      </c>
      <c r="E15" s="3">
        <f>+PRESUPUESTO!F132</f>
        <v>161250</v>
      </c>
      <c r="F15" s="3">
        <f>+PRESUPUESTO!G132</f>
        <v>161250</v>
      </c>
      <c r="G15" s="3">
        <f>+PRESUPUESTO!H132</f>
        <v>161250</v>
      </c>
      <c r="H15" s="3">
        <f>+PRESUPUESTO!I132</f>
        <v>161250</v>
      </c>
      <c r="I15" s="3">
        <f>+PRESUPUESTO!J132</f>
        <v>161250</v>
      </c>
      <c r="J15" s="3">
        <f>+PRESUPUESTO!K132</f>
        <v>161250</v>
      </c>
      <c r="K15" s="3">
        <f>+PRESUPUESTO!L132</f>
        <v>161250</v>
      </c>
      <c r="L15" s="3">
        <f>+PRESUPUESTO!M132</f>
        <v>161250</v>
      </c>
      <c r="M15" s="3">
        <f>+PRESUPUESTO!N132</f>
        <v>161250</v>
      </c>
      <c r="N15" s="3">
        <f>+PRESUPUESTO!O132</f>
        <v>161250</v>
      </c>
      <c r="O15" s="2">
        <f t="shared" si="2"/>
        <v>1935000</v>
      </c>
    </row>
    <row r="16" spans="1:161" x14ac:dyDescent="0.25">
      <c r="A16" s="3" t="s">
        <v>191</v>
      </c>
      <c r="B16" s="3" t="s">
        <v>192</v>
      </c>
      <c r="C16" s="3">
        <f>+PRESUPUESTO!D133</f>
        <v>100000</v>
      </c>
      <c r="D16" s="3">
        <f>+PRESUPUESTO!E133</f>
        <v>100000</v>
      </c>
      <c r="E16" s="3">
        <f>+PRESUPUESTO!F133</f>
        <v>100000</v>
      </c>
      <c r="F16" s="3">
        <f>+PRESUPUESTO!G133</f>
        <v>100000</v>
      </c>
      <c r="G16" s="3">
        <f>+PRESUPUESTO!H133</f>
        <v>100000</v>
      </c>
      <c r="H16" s="3">
        <f>+PRESUPUESTO!I133</f>
        <v>100000</v>
      </c>
      <c r="I16" s="3">
        <f>+PRESUPUESTO!J133</f>
        <v>100000</v>
      </c>
      <c r="J16" s="3">
        <f>+PRESUPUESTO!K133</f>
        <v>100000</v>
      </c>
      <c r="K16" s="3">
        <f>+PRESUPUESTO!L133</f>
        <v>100000</v>
      </c>
      <c r="L16" s="3">
        <f>+PRESUPUESTO!M133</f>
        <v>100000</v>
      </c>
      <c r="M16" s="3">
        <f>+PRESUPUESTO!N133</f>
        <v>100000</v>
      </c>
      <c r="N16" s="3">
        <f>+PRESUPUESTO!O133</f>
        <v>100000</v>
      </c>
      <c r="O16" s="2">
        <f t="shared" si="2"/>
        <v>1200000</v>
      </c>
    </row>
    <row r="17" spans="1:15" x14ac:dyDescent="0.25">
      <c r="A17" s="3" t="s">
        <v>193</v>
      </c>
      <c r="B17" s="3" t="s">
        <v>194</v>
      </c>
      <c r="C17" s="3">
        <f>+PRESUPUESTO!D134</f>
        <v>129310</v>
      </c>
      <c r="D17" s="3">
        <f>+PRESUPUESTO!E134</f>
        <v>129310</v>
      </c>
      <c r="E17" s="3">
        <f>+PRESUPUESTO!F134</f>
        <v>129310</v>
      </c>
      <c r="F17" s="3">
        <f>+PRESUPUESTO!G134</f>
        <v>129310</v>
      </c>
      <c r="G17" s="3">
        <f>+PRESUPUESTO!H134</f>
        <v>129310</v>
      </c>
      <c r="H17" s="3">
        <f>+PRESUPUESTO!I134</f>
        <v>129310</v>
      </c>
      <c r="I17" s="3">
        <f>+PRESUPUESTO!J134</f>
        <v>129310</v>
      </c>
      <c r="J17" s="3">
        <f>+PRESUPUESTO!K134</f>
        <v>129310</v>
      </c>
      <c r="K17" s="3">
        <f>+PRESUPUESTO!L134</f>
        <v>129310</v>
      </c>
      <c r="L17" s="3">
        <f>+PRESUPUESTO!M134</f>
        <v>129310</v>
      </c>
      <c r="M17" s="3">
        <f>+PRESUPUESTO!N134</f>
        <v>129310</v>
      </c>
      <c r="N17" s="3">
        <f>+PRESUPUESTO!O134</f>
        <v>129310</v>
      </c>
      <c r="O17" s="2">
        <f t="shared" si="2"/>
        <v>1551720</v>
      </c>
    </row>
    <row r="18" spans="1:15" x14ac:dyDescent="0.25">
      <c r="A18" s="3" t="s">
        <v>39</v>
      </c>
      <c r="B18" s="3" t="s">
        <v>40</v>
      </c>
      <c r="C18" s="3">
        <f>+PRESUPUESTO!D135</f>
        <v>344725</v>
      </c>
      <c r="D18" s="3">
        <f>+PRESUPUESTO!E135</f>
        <v>689450</v>
      </c>
      <c r="E18" s="3">
        <f>+PRESUPUESTO!F135</f>
        <v>689450</v>
      </c>
      <c r="F18" s="3">
        <f>+PRESUPUESTO!G135</f>
        <v>689450</v>
      </c>
      <c r="G18" s="3">
        <f>+PRESUPUESTO!H135</f>
        <v>689450</v>
      </c>
      <c r="H18" s="3">
        <f>+PRESUPUESTO!I135</f>
        <v>689450</v>
      </c>
      <c r="I18" s="3">
        <f>+PRESUPUESTO!J135</f>
        <v>0</v>
      </c>
      <c r="J18" s="3">
        <f>+PRESUPUESTO!K135</f>
        <v>0</v>
      </c>
      <c r="K18" s="3">
        <f>+PRESUPUESTO!L135</f>
        <v>689450</v>
      </c>
      <c r="L18" s="3">
        <f>+PRESUPUESTO!M135</f>
        <v>689450</v>
      </c>
      <c r="M18" s="3">
        <f>+PRESUPUESTO!N135</f>
        <v>689450</v>
      </c>
      <c r="N18" s="3">
        <f>+PRESUPUESTO!O135</f>
        <v>689450</v>
      </c>
      <c r="O18" s="2">
        <f t="shared" si="2"/>
        <v>6549775</v>
      </c>
    </row>
    <row r="19" spans="1:15" x14ac:dyDescent="0.25">
      <c r="A19" s="3" t="s">
        <v>43</v>
      </c>
      <c r="B19" s="3" t="s">
        <v>44</v>
      </c>
      <c r="C19" s="3">
        <f>+PRESUPUESTO!D136</f>
        <v>38850</v>
      </c>
      <c r="D19" s="3">
        <f>+PRESUPUESTO!E136</f>
        <v>77700</v>
      </c>
      <c r="E19" s="3">
        <f>+PRESUPUESTO!F136</f>
        <v>77700</v>
      </c>
      <c r="F19" s="3">
        <f>+PRESUPUESTO!G136</f>
        <v>77700</v>
      </c>
      <c r="G19" s="3">
        <f>+PRESUPUESTO!H136</f>
        <v>77700</v>
      </c>
      <c r="H19" s="3">
        <f>+PRESUPUESTO!I136</f>
        <v>77700</v>
      </c>
      <c r="I19" s="3">
        <f>+PRESUPUESTO!J136</f>
        <v>0</v>
      </c>
      <c r="J19" s="3">
        <f>+PRESUPUESTO!K136</f>
        <v>0</v>
      </c>
      <c r="K19" s="3">
        <f>+PRESUPUESTO!L136</f>
        <v>77700</v>
      </c>
      <c r="L19" s="3">
        <f>+PRESUPUESTO!M136</f>
        <v>77700</v>
      </c>
      <c r="M19" s="3">
        <f>+PRESUPUESTO!N136</f>
        <v>77700</v>
      </c>
      <c r="N19" s="3">
        <f>+PRESUPUESTO!O136</f>
        <v>77700</v>
      </c>
      <c r="O19" s="2">
        <f t="shared" si="2"/>
        <v>738150</v>
      </c>
    </row>
    <row r="20" spans="1:15" x14ac:dyDescent="0.25">
      <c r="A20" s="3" t="s">
        <v>45</v>
      </c>
      <c r="B20" s="3" t="s">
        <v>46</v>
      </c>
      <c r="C20" s="3">
        <f>+PRESUPUESTO!D137</f>
        <v>31964.583333333332</v>
      </c>
      <c r="D20" s="3">
        <f>+PRESUPUESTO!E137</f>
        <v>63929.166666666664</v>
      </c>
      <c r="E20" s="3">
        <f>+PRESUPUESTO!F137</f>
        <v>63929.166666666664</v>
      </c>
      <c r="F20" s="3">
        <f>+PRESUPUESTO!G137</f>
        <v>63929.166666666664</v>
      </c>
      <c r="G20" s="3">
        <f>+PRESUPUESTO!H137</f>
        <v>63929.166666666664</v>
      </c>
      <c r="H20" s="3">
        <f>+PRESUPUESTO!I137</f>
        <v>63929.166666666664</v>
      </c>
      <c r="I20" s="3">
        <f>+PRESUPUESTO!J137</f>
        <v>0</v>
      </c>
      <c r="J20" s="3">
        <f>+PRESUPUESTO!K137</f>
        <v>0</v>
      </c>
      <c r="K20" s="3">
        <f>+PRESUPUESTO!L137</f>
        <v>63929.166666666664</v>
      </c>
      <c r="L20" s="3">
        <f>+PRESUPUESTO!M137</f>
        <v>63929.166666666664</v>
      </c>
      <c r="M20" s="3">
        <f>+PRESUPUESTO!N137</f>
        <v>63929.166666666664</v>
      </c>
      <c r="N20" s="3">
        <f>+PRESUPUESTO!O137</f>
        <v>63929.166666666664</v>
      </c>
      <c r="O20" s="2">
        <f t="shared" si="2"/>
        <v>607327.08333333337</v>
      </c>
    </row>
    <row r="21" spans="1:15" x14ac:dyDescent="0.25">
      <c r="A21" s="3" t="s">
        <v>47</v>
      </c>
      <c r="B21" s="3" t="s">
        <v>48</v>
      </c>
      <c r="C21" s="3">
        <f>+PRESUPUESTO!D138</f>
        <v>3447.25</v>
      </c>
      <c r="D21" s="3">
        <f>+PRESUPUESTO!E138</f>
        <v>6894.5</v>
      </c>
      <c r="E21" s="3">
        <f>+PRESUPUESTO!F138</f>
        <v>6894.5</v>
      </c>
      <c r="F21" s="3">
        <f>+PRESUPUESTO!G138</f>
        <v>6894.5</v>
      </c>
      <c r="G21" s="3">
        <f>+PRESUPUESTO!H138</f>
        <v>6894.5</v>
      </c>
      <c r="H21" s="3">
        <f>+PRESUPUESTO!I138</f>
        <v>6894.5</v>
      </c>
      <c r="I21" s="3">
        <f>+PRESUPUESTO!J138</f>
        <v>0</v>
      </c>
      <c r="J21" s="3">
        <f>+PRESUPUESTO!K138</f>
        <v>0</v>
      </c>
      <c r="K21" s="3">
        <f>+PRESUPUESTO!L138</f>
        <v>6894.5</v>
      </c>
      <c r="L21" s="3">
        <f>+PRESUPUESTO!M138</f>
        <v>6894.5</v>
      </c>
      <c r="M21" s="3">
        <f>+PRESUPUESTO!N138</f>
        <v>6894.5</v>
      </c>
      <c r="N21" s="3">
        <f>+PRESUPUESTO!O138</f>
        <v>6894.5</v>
      </c>
      <c r="O21" s="2">
        <f t="shared" si="2"/>
        <v>65497.75</v>
      </c>
    </row>
    <row r="22" spans="1:15" x14ac:dyDescent="0.25">
      <c r="A22" s="3" t="s">
        <v>49</v>
      </c>
      <c r="B22" s="3" t="s">
        <v>50</v>
      </c>
      <c r="C22" s="3">
        <f>+PRESUPUESTO!D139</f>
        <v>31964.583333333332</v>
      </c>
      <c r="D22" s="3">
        <f>+PRESUPUESTO!E139</f>
        <v>63929.166666666664</v>
      </c>
      <c r="E22" s="3">
        <f>+PRESUPUESTO!F139</f>
        <v>63929.166666666664</v>
      </c>
      <c r="F22" s="3">
        <f>+PRESUPUESTO!G139</f>
        <v>63929.166666666664</v>
      </c>
      <c r="G22" s="3">
        <f>+PRESUPUESTO!H139</f>
        <v>63929.166666666664</v>
      </c>
      <c r="H22" s="3">
        <f>+PRESUPUESTO!I139</f>
        <v>63929.166666666664</v>
      </c>
      <c r="I22" s="3">
        <f>+PRESUPUESTO!J139</f>
        <v>0</v>
      </c>
      <c r="J22" s="3">
        <f>+PRESUPUESTO!K139</f>
        <v>0</v>
      </c>
      <c r="K22" s="3">
        <f>+PRESUPUESTO!L139</f>
        <v>63929.166666666664</v>
      </c>
      <c r="L22" s="3">
        <f>+PRESUPUESTO!M139</f>
        <v>63929.166666666664</v>
      </c>
      <c r="M22" s="3">
        <f>+PRESUPUESTO!N139</f>
        <v>63929.166666666664</v>
      </c>
      <c r="N22" s="3">
        <f>+PRESUPUESTO!O139</f>
        <v>63929.166666666664</v>
      </c>
      <c r="O22" s="2">
        <f t="shared" si="2"/>
        <v>607327.08333333337</v>
      </c>
    </row>
    <row r="23" spans="1:15" x14ac:dyDescent="0.25">
      <c r="A23" s="3" t="s">
        <v>51</v>
      </c>
      <c r="B23" s="3" t="s">
        <v>52</v>
      </c>
      <c r="C23" s="3">
        <f>+PRESUPUESTO!D140</f>
        <v>15982.291666666666</v>
      </c>
      <c r="D23" s="3">
        <f>+PRESUPUESTO!E140</f>
        <v>31964.583333333332</v>
      </c>
      <c r="E23" s="3">
        <f>+PRESUPUESTO!F140</f>
        <v>31964.583333333332</v>
      </c>
      <c r="F23" s="3">
        <f>+PRESUPUESTO!G140</f>
        <v>31964.583333333332</v>
      </c>
      <c r="G23" s="3">
        <f>+PRESUPUESTO!H140</f>
        <v>31964.583333333332</v>
      </c>
      <c r="H23" s="3">
        <f>+PRESUPUESTO!I140</f>
        <v>31964.583333333332</v>
      </c>
      <c r="I23" s="3">
        <f>+PRESUPUESTO!J140</f>
        <v>0</v>
      </c>
      <c r="J23" s="3">
        <f>+PRESUPUESTO!K140</f>
        <v>0</v>
      </c>
      <c r="K23" s="3">
        <f>+PRESUPUESTO!L140</f>
        <v>31964.583333333332</v>
      </c>
      <c r="L23" s="3">
        <f>+PRESUPUESTO!M140</f>
        <v>31964.583333333332</v>
      </c>
      <c r="M23" s="3">
        <f>+PRESUPUESTO!N140</f>
        <v>31964.583333333332</v>
      </c>
      <c r="N23" s="3">
        <f>+PRESUPUESTO!O140</f>
        <v>31964.583333333332</v>
      </c>
      <c r="O23" s="2">
        <f t="shared" si="2"/>
        <v>303663.54166666669</v>
      </c>
    </row>
    <row r="24" spans="1:15" x14ac:dyDescent="0.25">
      <c r="A24" s="3" t="s">
        <v>53</v>
      </c>
      <c r="B24" s="3" t="s">
        <v>54</v>
      </c>
      <c r="C24" s="3">
        <f>+PRESUPUESTO!D141</f>
        <v>75000</v>
      </c>
      <c r="D24" s="3">
        <f>+PRESUPUESTO!E141</f>
        <v>150000</v>
      </c>
      <c r="E24" s="3">
        <f>+PRESUPUESTO!F141</f>
        <v>150000</v>
      </c>
      <c r="F24" s="3">
        <f>+PRESUPUESTO!G141</f>
        <v>150000</v>
      </c>
      <c r="G24" s="3">
        <f>+PRESUPUESTO!H141</f>
        <v>150000</v>
      </c>
      <c r="H24" s="3">
        <f>+PRESUPUESTO!I141</f>
        <v>150000</v>
      </c>
      <c r="I24" s="3">
        <f>+PRESUPUESTO!J141</f>
        <v>0</v>
      </c>
      <c r="J24" s="3">
        <f>+PRESUPUESTO!K141</f>
        <v>0</v>
      </c>
      <c r="K24" s="3">
        <f>+PRESUPUESTO!L141</f>
        <v>150000</v>
      </c>
      <c r="L24" s="3">
        <f>+PRESUPUESTO!M141</f>
        <v>150000</v>
      </c>
      <c r="M24" s="3">
        <f>+PRESUPUESTO!N141</f>
        <v>150000</v>
      </c>
      <c r="N24" s="3">
        <f>+PRESUPUESTO!O141</f>
        <v>150000</v>
      </c>
      <c r="O24" s="2">
        <f t="shared" si="2"/>
        <v>1425000</v>
      </c>
    </row>
    <row r="25" spans="1:15" x14ac:dyDescent="0.25">
      <c r="A25" s="3" t="s">
        <v>55</v>
      </c>
      <c r="B25" s="3" t="s">
        <v>56</v>
      </c>
      <c r="C25" s="3">
        <f>+PRESUPUESTO!D142</f>
        <v>0</v>
      </c>
      <c r="D25" s="3">
        <f>+PRESUPUESTO!E142</f>
        <v>0</v>
      </c>
      <c r="E25" s="3">
        <f>+PRESUPUESTO!F142</f>
        <v>0</v>
      </c>
      <c r="F25" s="3">
        <f>+PRESUPUESTO!G142</f>
        <v>0</v>
      </c>
      <c r="G25" s="3">
        <f>+PRESUPUESTO!H142</f>
        <v>0</v>
      </c>
      <c r="H25" s="3">
        <f>+PRESUPUESTO!I142</f>
        <v>0</v>
      </c>
      <c r="I25" s="3">
        <f>+PRESUPUESTO!J142</f>
        <v>0</v>
      </c>
      <c r="J25" s="3">
        <f>+PRESUPUESTO!K142</f>
        <v>0</v>
      </c>
      <c r="K25" s="3">
        <f>+PRESUPUESTO!L142</f>
        <v>0</v>
      </c>
      <c r="L25" s="3">
        <f>+PRESUPUESTO!M142</f>
        <v>0</v>
      </c>
      <c r="M25" s="3">
        <f>+PRESUPUESTO!N142</f>
        <v>0</v>
      </c>
      <c r="N25" s="3">
        <f>+PRESUPUESTO!O142</f>
        <v>0</v>
      </c>
      <c r="O25" s="2">
        <f t="shared" si="2"/>
        <v>0</v>
      </c>
    </row>
    <row r="26" spans="1:15" x14ac:dyDescent="0.25">
      <c r="A26" s="3" t="s">
        <v>59</v>
      </c>
      <c r="B26" s="3" t="s">
        <v>60</v>
      </c>
      <c r="C26" s="3">
        <f>+PRESUPUESTO!D143</f>
        <v>1799.4645</v>
      </c>
      <c r="D26" s="3">
        <f>+PRESUPUESTO!E143</f>
        <v>3598.9290000000001</v>
      </c>
      <c r="E26" s="3">
        <f>+PRESUPUESTO!F143</f>
        <v>3598.9290000000001</v>
      </c>
      <c r="F26" s="3">
        <f>+PRESUPUESTO!G143</f>
        <v>3598.9290000000001</v>
      </c>
      <c r="G26" s="3">
        <f>+PRESUPUESTO!H143</f>
        <v>3598.9290000000001</v>
      </c>
      <c r="H26" s="3">
        <f>+PRESUPUESTO!I143</f>
        <v>3598.9290000000001</v>
      </c>
      <c r="I26" s="3">
        <f>+PRESUPUESTO!J143</f>
        <v>0</v>
      </c>
      <c r="J26" s="3">
        <f>+PRESUPUESTO!K143</f>
        <v>0</v>
      </c>
      <c r="K26" s="3">
        <f>+PRESUPUESTO!L143</f>
        <v>3598.9290000000001</v>
      </c>
      <c r="L26" s="3">
        <f>+PRESUPUESTO!M143</f>
        <v>3598.9290000000001</v>
      </c>
      <c r="M26" s="3">
        <f>+PRESUPUESTO!N143</f>
        <v>3598.9290000000001</v>
      </c>
      <c r="N26" s="3">
        <f>+PRESUPUESTO!O143</f>
        <v>3598.9290000000001</v>
      </c>
      <c r="O26" s="2">
        <f t="shared" si="2"/>
        <v>34189.825499999999</v>
      </c>
    </row>
    <row r="27" spans="1:15" x14ac:dyDescent="0.25">
      <c r="A27" s="3" t="s">
        <v>63</v>
      </c>
      <c r="B27" s="3" t="s">
        <v>64</v>
      </c>
      <c r="C27" s="3">
        <f>+PRESUPUESTO!D144</f>
        <v>43090.625</v>
      </c>
      <c r="D27" s="3">
        <f>+PRESUPUESTO!E144</f>
        <v>86181.25</v>
      </c>
      <c r="E27" s="3">
        <f>+PRESUPUESTO!F144</f>
        <v>86181.25</v>
      </c>
      <c r="F27" s="3">
        <f>+PRESUPUESTO!G144</f>
        <v>86181.25</v>
      </c>
      <c r="G27" s="3">
        <f>+PRESUPUESTO!H144</f>
        <v>86181.25</v>
      </c>
      <c r="H27" s="3">
        <f>+PRESUPUESTO!I144</f>
        <v>86181.25</v>
      </c>
      <c r="I27" s="3">
        <f>+PRESUPUESTO!J144</f>
        <v>0</v>
      </c>
      <c r="J27" s="3">
        <f>+PRESUPUESTO!K144</f>
        <v>0</v>
      </c>
      <c r="K27" s="3">
        <f>+PRESUPUESTO!L144</f>
        <v>86181.25</v>
      </c>
      <c r="L27" s="3">
        <f>+PRESUPUESTO!M144</f>
        <v>86181.25</v>
      </c>
      <c r="M27" s="3">
        <f>+PRESUPUESTO!N144</f>
        <v>86181.25</v>
      </c>
      <c r="N27" s="3">
        <f>+PRESUPUESTO!O144</f>
        <v>86181.25</v>
      </c>
      <c r="O27" s="2">
        <f t="shared" si="2"/>
        <v>818721.875</v>
      </c>
    </row>
    <row r="28" spans="1:15" x14ac:dyDescent="0.25">
      <c r="A28" s="3" t="s">
        <v>65</v>
      </c>
      <c r="B28" s="3" t="s">
        <v>66</v>
      </c>
      <c r="C28" s="3">
        <f>+PRESUPUESTO!D145</f>
        <v>13789</v>
      </c>
      <c r="D28" s="3">
        <f>+PRESUPUESTO!E145</f>
        <v>27578</v>
      </c>
      <c r="E28" s="3">
        <f>+PRESUPUESTO!F145</f>
        <v>27578</v>
      </c>
      <c r="F28" s="3">
        <f>+PRESUPUESTO!G145</f>
        <v>27578</v>
      </c>
      <c r="G28" s="3">
        <f>+PRESUPUESTO!H145</f>
        <v>27578</v>
      </c>
      <c r="H28" s="3">
        <f>+PRESUPUESTO!I145</f>
        <v>27578</v>
      </c>
      <c r="I28" s="3">
        <f>+PRESUPUESTO!J145</f>
        <v>0</v>
      </c>
      <c r="J28" s="3">
        <f>+PRESUPUESTO!K145</f>
        <v>0</v>
      </c>
      <c r="K28" s="3">
        <f>+PRESUPUESTO!L145</f>
        <v>27578</v>
      </c>
      <c r="L28" s="3">
        <f>+PRESUPUESTO!M145</f>
        <v>27578</v>
      </c>
      <c r="M28" s="3">
        <f>+PRESUPUESTO!N145</f>
        <v>27578</v>
      </c>
      <c r="N28" s="3">
        <f>+PRESUPUESTO!O145</f>
        <v>27578</v>
      </c>
      <c r="O28" s="2">
        <f t="shared" si="2"/>
        <v>261991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EJECUTADO </vt:lpstr>
      <vt:lpstr>PRESUPUESTO</vt:lpstr>
      <vt:lpstr>GSA</vt:lpstr>
      <vt:lpstr>ESPANTAPAJAROS</vt:lpstr>
      <vt:lpstr>BUSETA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Asdrubal</cp:lastModifiedBy>
  <dcterms:created xsi:type="dcterms:W3CDTF">2016-03-08T03:39:25Z</dcterms:created>
  <dcterms:modified xsi:type="dcterms:W3CDTF">2019-07-17T10:14:42Z</dcterms:modified>
</cp:coreProperties>
</file>